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thybourgeos/Desktop/DATA/ _MARNIXRING/ _MRIS/0 SECRETARIAAT/ADMINISTRATIEVE CEL/BOEKHOUDING EN FINANCIEN/BOEKHOUDING EN FINANCIEN 2024/FACTURATIE 2024/__JAARREKENING 2024_/20250505_BEGROTING 2025 DEF/"/>
    </mc:Choice>
  </mc:AlternateContent>
  <xr:revisionPtr revIDLastSave="0" documentId="13_ncr:1_{9C7DE0F4-386E-7949-B2D0-6A8C599D6564}" xr6:coauthVersionLast="47" xr6:coauthVersionMax="47" xr10:uidLastSave="{00000000-0000-0000-0000-000000000000}"/>
  <bookViews>
    <workbookView xWindow="1020" yWindow="760" windowWidth="32880" windowHeight="18980" xr2:uid="{204D5FD0-C411-43FC-A66C-E2A8BCDE860F}"/>
  </bookViews>
  <sheets>
    <sheet name="BUDGET" sheetId="2" r:id="rId1"/>
    <sheet name="THESAURIE CF" sheetId="8" r:id="rId2"/>
    <sheet name="DEPRECIATION" sheetId="7" r:id="rId3"/>
    <sheet name="INVESTERINGEN" sheetId="6" r:id="rId4"/>
    <sheet name="OVERIGE" sheetId="5" r:id="rId5"/>
    <sheet name="LOON" sheetId="3" r:id="rId6"/>
    <sheet name="D&amp;A" sheetId="4" r:id="rId7"/>
    <sheet name="BASIS HISTORISCHE CIJFERS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2" i="2" l="1"/>
  <c r="Q62" i="2"/>
  <c r="Q66" i="2"/>
  <c r="Q60" i="2"/>
  <c r="Q59" i="2"/>
  <c r="Q53" i="2"/>
  <c r="Q150" i="2"/>
  <c r="Q136" i="2"/>
  <c r="Q34" i="2"/>
  <c r="Q33" i="2"/>
  <c r="O137" i="2"/>
  <c r="K137" i="2"/>
  <c r="M137" i="2"/>
  <c r="E22" i="8" l="1"/>
  <c r="E23" i="8"/>
  <c r="E21" i="8"/>
  <c r="E20" i="8"/>
  <c r="E19" i="8"/>
  <c r="C24" i="8"/>
  <c r="B24" i="8"/>
  <c r="E16" i="8"/>
  <c r="E17" i="8"/>
  <c r="C11" i="8"/>
  <c r="C1" i="8"/>
  <c r="C4" i="8"/>
  <c r="O147" i="2"/>
  <c r="O136" i="2"/>
  <c r="P79" i="2"/>
  <c r="AS18" i="7"/>
  <c r="AS17" i="7"/>
  <c r="AU17" i="7" s="1"/>
  <c r="BH5" i="7"/>
  <c r="BH4" i="7"/>
  <c r="BH6" i="7" s="1"/>
  <c r="BH11" i="7"/>
  <c r="BH26" i="7"/>
  <c r="BH25" i="7"/>
  <c r="BH27" i="7" s="1"/>
  <c r="BH32" i="7"/>
  <c r="BH53" i="7"/>
  <c r="BH52" i="7"/>
  <c r="BH51" i="7"/>
  <c r="BH50" i="7"/>
  <c r="BH49" i="7"/>
  <c r="BH48" i="7"/>
  <c r="BH54" i="7" s="1"/>
  <c r="BH47" i="7"/>
  <c r="BH41" i="7"/>
  <c r="BH40" i="7"/>
  <c r="BH39" i="7"/>
  <c r="BH38" i="7"/>
  <c r="BG38" i="7"/>
  <c r="BH33" i="7"/>
  <c r="BH12" i="7"/>
  <c r="AT42" i="7"/>
  <c r="AT56" i="7" s="1"/>
  <c r="AS42" i="7"/>
  <c r="AU54" i="7"/>
  <c r="AT54" i="7"/>
  <c r="AS54" i="7"/>
  <c r="AU53" i="7"/>
  <c r="AU52" i="7"/>
  <c r="AU51" i="7"/>
  <c r="AU50" i="7"/>
  <c r="AU49" i="7"/>
  <c r="AU48" i="7"/>
  <c r="AU47" i="7"/>
  <c r="AU41" i="7"/>
  <c r="AU40" i="7"/>
  <c r="AU39" i="7"/>
  <c r="AU38" i="7"/>
  <c r="AU42" i="7" s="1"/>
  <c r="AU32" i="7"/>
  <c r="AU33" i="7"/>
  <c r="AT33" i="7"/>
  <c r="AS33" i="7"/>
  <c r="AU27" i="7"/>
  <c r="AT27" i="7"/>
  <c r="AS27" i="7"/>
  <c r="AU26" i="7"/>
  <c r="AU25" i="7"/>
  <c r="AU18" i="7"/>
  <c r="BH18" i="7" s="1"/>
  <c r="AT19" i="7"/>
  <c r="AT12" i="7"/>
  <c r="AS12" i="7"/>
  <c r="AU12" i="7"/>
  <c r="AU11" i="7"/>
  <c r="AU5" i="7"/>
  <c r="AU4" i="7"/>
  <c r="AU6" i="7" s="1"/>
  <c r="AT6" i="7"/>
  <c r="AS6" i="7"/>
  <c r="Y56" i="7"/>
  <c r="I56" i="7"/>
  <c r="AQ54" i="7"/>
  <c r="AP54" i="7"/>
  <c r="AN54" i="7"/>
  <c r="AM54" i="7"/>
  <c r="AK54" i="7"/>
  <c r="AJ54" i="7"/>
  <c r="AH54" i="7"/>
  <c r="AG54" i="7"/>
  <c r="AE54" i="7"/>
  <c r="AB54" i="7"/>
  <c r="Y54" i="7"/>
  <c r="V54" i="7"/>
  <c r="U54" i="7"/>
  <c r="S54" i="7"/>
  <c r="R54" i="7"/>
  <c r="P54" i="7"/>
  <c r="M54" i="7"/>
  <c r="K54" i="7"/>
  <c r="I54" i="7"/>
  <c r="H54" i="7"/>
  <c r="G54" i="7"/>
  <c r="J53" i="7"/>
  <c r="J52" i="7"/>
  <c r="AV51" i="7"/>
  <c r="J51" i="7"/>
  <c r="AX50" i="7"/>
  <c r="Q50" i="7"/>
  <c r="T50" i="7" s="1"/>
  <c r="W50" i="7" s="1"/>
  <c r="Z50" i="7" s="1"/>
  <c r="AC50" i="7" s="1"/>
  <c r="N50" i="7"/>
  <c r="J50" i="7"/>
  <c r="AX49" i="7"/>
  <c r="AC49" i="7"/>
  <c r="Q49" i="7"/>
  <c r="T49" i="7" s="1"/>
  <c r="W49" i="7" s="1"/>
  <c r="Z49" i="7" s="1"/>
  <c r="N49" i="7"/>
  <c r="J49" i="7"/>
  <c r="AX48" i="7"/>
  <c r="AC48" i="7"/>
  <c r="Q48" i="7"/>
  <c r="T48" i="7" s="1"/>
  <c r="W48" i="7" s="1"/>
  <c r="Z48" i="7" s="1"/>
  <c r="N48" i="7"/>
  <c r="J48" i="7"/>
  <c r="AX47" i="7"/>
  <c r="Q47" i="7"/>
  <c r="N47" i="7"/>
  <c r="J47" i="7"/>
  <c r="AQ42" i="7"/>
  <c r="AP42" i="7"/>
  <c r="AN42" i="7"/>
  <c r="AM42" i="7"/>
  <c r="AK42" i="7"/>
  <c r="AH42" i="7"/>
  <c r="AE42" i="7"/>
  <c r="AB42" i="7"/>
  <c r="Y42" i="7"/>
  <c r="V42" i="7"/>
  <c r="U42" i="7"/>
  <c r="S42" i="7"/>
  <c r="R42" i="7"/>
  <c r="P42" i="7"/>
  <c r="O42" i="7"/>
  <c r="M42" i="7"/>
  <c r="L42" i="7"/>
  <c r="I42" i="7"/>
  <c r="H42" i="7"/>
  <c r="G42" i="7"/>
  <c r="J41" i="7"/>
  <c r="AV40" i="7"/>
  <c r="K40" i="7"/>
  <c r="N40" i="7" s="1"/>
  <c r="Q40" i="7" s="1"/>
  <c r="T40" i="7" s="1"/>
  <c r="W40" i="7" s="1"/>
  <c r="J40" i="7"/>
  <c r="K39" i="7"/>
  <c r="N39" i="7" s="1"/>
  <c r="AW39" i="7" s="1"/>
  <c r="J39" i="7"/>
  <c r="K38" i="7"/>
  <c r="J38" i="7"/>
  <c r="AQ33" i="7"/>
  <c r="AP33" i="7"/>
  <c r="AN33" i="7"/>
  <c r="AM33" i="7"/>
  <c r="AK33" i="7"/>
  <c r="AJ33" i="7"/>
  <c r="AH33" i="7"/>
  <c r="AG33" i="7"/>
  <c r="AE33" i="7"/>
  <c r="AD33" i="7"/>
  <c r="AB33" i="7"/>
  <c r="AA33" i="7"/>
  <c r="Y33" i="7"/>
  <c r="X33" i="7"/>
  <c r="V33" i="7"/>
  <c r="U33" i="7"/>
  <c r="S33" i="7"/>
  <c r="R33" i="7"/>
  <c r="P33" i="7"/>
  <c r="O33" i="7"/>
  <c r="N33" i="7"/>
  <c r="M33" i="7"/>
  <c r="L33" i="7"/>
  <c r="K33" i="7"/>
  <c r="J33" i="7"/>
  <c r="I33" i="7"/>
  <c r="H33" i="7"/>
  <c r="G33" i="7"/>
  <c r="N32" i="7"/>
  <c r="Q32" i="7" s="1"/>
  <c r="J32" i="7"/>
  <c r="AX27" i="7"/>
  <c r="AW27" i="7"/>
  <c r="AV27" i="7"/>
  <c r="AQ27" i="7"/>
  <c r="AP27" i="7"/>
  <c r="AN27" i="7"/>
  <c r="AM27" i="7"/>
  <c r="AK27" i="7"/>
  <c r="AJ27" i="7"/>
  <c r="AH27" i="7"/>
  <c r="AG27" i="7"/>
  <c r="AE27" i="7"/>
  <c r="AB27" i="7"/>
  <c r="Y27" i="7"/>
  <c r="V27" i="7"/>
  <c r="S27" i="7"/>
  <c r="Q27" i="7"/>
  <c r="P27" i="7"/>
  <c r="O27" i="7"/>
  <c r="N27" i="7"/>
  <c r="M27" i="7"/>
  <c r="L27" i="7"/>
  <c r="K27" i="7"/>
  <c r="J27" i="7"/>
  <c r="I27" i="7"/>
  <c r="H27" i="7"/>
  <c r="G27" i="7"/>
  <c r="AD26" i="7"/>
  <c r="AA26" i="7"/>
  <c r="X26" i="7"/>
  <c r="U26" i="7"/>
  <c r="R26" i="7"/>
  <c r="T26" i="7" s="1"/>
  <c r="J26" i="7"/>
  <c r="AD25" i="7"/>
  <c r="AD27" i="7" s="1"/>
  <c r="AA25" i="7"/>
  <c r="AA27" i="7" s="1"/>
  <c r="X25" i="7"/>
  <c r="X27" i="7" s="1"/>
  <c r="U25" i="7"/>
  <c r="U27" i="7" s="1"/>
  <c r="R25" i="7"/>
  <c r="J25" i="7"/>
  <c r="AQ19" i="7"/>
  <c r="AN19" i="7"/>
  <c r="AK19" i="7"/>
  <c r="AH19" i="7"/>
  <c r="AE19" i="7"/>
  <c r="AB19" i="7"/>
  <c r="Y19" i="7"/>
  <c r="V19" i="7"/>
  <c r="S19" i="7"/>
  <c r="R19" i="7"/>
  <c r="P19" i="7"/>
  <c r="O19" i="7"/>
  <c r="N19" i="7"/>
  <c r="M19" i="7"/>
  <c r="L19" i="7"/>
  <c r="K19" i="7"/>
  <c r="I19" i="7"/>
  <c r="H19" i="7"/>
  <c r="G19" i="7"/>
  <c r="J18" i="7"/>
  <c r="AV17" i="7"/>
  <c r="AV19" i="7" s="1"/>
  <c r="AP17" i="7"/>
  <c r="AM17" i="7"/>
  <c r="AG17" i="7"/>
  <c r="AD17" i="7"/>
  <c r="AD19" i="7" s="1"/>
  <c r="AA17" i="7"/>
  <c r="AA19" i="7" s="1"/>
  <c r="U17" i="7"/>
  <c r="U19" i="7" s="1"/>
  <c r="Q17" i="7"/>
  <c r="N17" i="7"/>
  <c r="J17" i="7"/>
  <c r="F17" i="7"/>
  <c r="AQ12" i="7"/>
  <c r="AP12" i="7"/>
  <c r="AN12" i="7"/>
  <c r="AM12" i="7"/>
  <c r="AK12" i="7"/>
  <c r="AJ12" i="7"/>
  <c r="AH12" i="7"/>
  <c r="AG12" i="7"/>
  <c r="AE12" i="7"/>
  <c r="AD12" i="7"/>
  <c r="AB12" i="7"/>
  <c r="AA12" i="7"/>
  <c r="Y12" i="7"/>
  <c r="X12" i="7"/>
  <c r="V12" i="7"/>
  <c r="U12" i="7"/>
  <c r="S12" i="7"/>
  <c r="R12" i="7"/>
  <c r="N12" i="7"/>
  <c r="M12" i="7"/>
  <c r="L12" i="7"/>
  <c r="K12" i="7"/>
  <c r="J12" i="7"/>
  <c r="I12" i="7"/>
  <c r="H12" i="7"/>
  <c r="G12" i="7"/>
  <c r="N11" i="7"/>
  <c r="Q11" i="7" s="1"/>
  <c r="Q12" i="7" s="1"/>
  <c r="J11" i="7"/>
  <c r="BE6" i="7"/>
  <c r="BD6" i="7"/>
  <c r="BC6" i="7"/>
  <c r="BB6" i="7"/>
  <c r="BA6" i="7"/>
  <c r="AZ6" i="7"/>
  <c r="AY6" i="7"/>
  <c r="AX6" i="7"/>
  <c r="AW6" i="7"/>
  <c r="AV6" i="7"/>
  <c r="AQ6" i="7"/>
  <c r="AN6" i="7"/>
  <c r="AL6" i="7"/>
  <c r="AK6" i="7"/>
  <c r="AK56" i="7" s="1"/>
  <c r="AJ6" i="7"/>
  <c r="AI6" i="7"/>
  <c r="AH6" i="7"/>
  <c r="AH56" i="7" s="1"/>
  <c r="AG6" i="7"/>
  <c r="AF6" i="7"/>
  <c r="AE6" i="7"/>
  <c r="AE56" i="7" s="1"/>
  <c r="AD6" i="7"/>
  <c r="AC6" i="7"/>
  <c r="AB6" i="7"/>
  <c r="AA6" i="7"/>
  <c r="Z6" i="7"/>
  <c r="Y6" i="7"/>
  <c r="X6" i="7"/>
  <c r="W6" i="7"/>
  <c r="V6" i="7"/>
  <c r="V56" i="7" s="1"/>
  <c r="U6" i="7"/>
  <c r="T6" i="7"/>
  <c r="S6" i="7"/>
  <c r="R6" i="7"/>
  <c r="Q6" i="7"/>
  <c r="P6" i="7"/>
  <c r="O6" i="7"/>
  <c r="N6" i="7"/>
  <c r="M6" i="7"/>
  <c r="M56" i="7" s="1"/>
  <c r="L6" i="7"/>
  <c r="K6" i="7"/>
  <c r="I6" i="7"/>
  <c r="H6" i="7"/>
  <c r="G6" i="7"/>
  <c r="J5" i="7"/>
  <c r="J4" i="7"/>
  <c r="C13" i="8" l="1"/>
  <c r="E24" i="8"/>
  <c r="E13" i="8" s="1"/>
  <c r="AU19" i="7"/>
  <c r="BH17" i="7"/>
  <c r="BH19" i="7" s="1"/>
  <c r="AS19" i="7"/>
  <c r="AS56" i="7"/>
  <c r="AU56" i="7"/>
  <c r="BH42" i="7"/>
  <c r="BH56" i="7" s="1"/>
  <c r="AP18" i="7"/>
  <c r="AP19" i="7" s="1"/>
  <c r="AJ18" i="7"/>
  <c r="AM18" i="7"/>
  <c r="AM19" i="7" s="1"/>
  <c r="AG18" i="7"/>
  <c r="AI18" i="7" s="1"/>
  <c r="AM4" i="7"/>
  <c r="AP4" i="7"/>
  <c r="H56" i="7"/>
  <c r="P56" i="7"/>
  <c r="AB56" i="7"/>
  <c r="T11" i="7"/>
  <c r="J19" i="7"/>
  <c r="R27" i="7"/>
  <c r="T25" i="7"/>
  <c r="Q33" i="7"/>
  <c r="AX32" i="7"/>
  <c r="AX33" i="7" s="1"/>
  <c r="AF49" i="7"/>
  <c r="AI49" i="7" s="1"/>
  <c r="AL49" i="7" s="1"/>
  <c r="AO49" i="7" s="1"/>
  <c r="BB49" i="7"/>
  <c r="O52" i="7"/>
  <c r="AV52" i="7"/>
  <c r="L52" i="7"/>
  <c r="N52" i="7" s="1"/>
  <c r="U56" i="7"/>
  <c r="AW11" i="7"/>
  <c r="AW12" i="7" s="1"/>
  <c r="AW17" i="7"/>
  <c r="AW19" i="7" s="1"/>
  <c r="X17" i="7"/>
  <c r="X19" i="7" s="1"/>
  <c r="AJ17" i="7"/>
  <c r="AX17" i="7"/>
  <c r="AX19" i="7" s="1"/>
  <c r="W26" i="7"/>
  <c r="Z26" i="7" s="1"/>
  <c r="AY26" i="7"/>
  <c r="T32" i="7"/>
  <c r="K42" i="7"/>
  <c r="K56" i="7" s="1"/>
  <c r="N38" i="7"/>
  <c r="Q39" i="7"/>
  <c r="T39" i="7" s="1"/>
  <c r="W39" i="7" s="1"/>
  <c r="Z39" i="7" s="1"/>
  <c r="Z40" i="7"/>
  <c r="AC40" i="7" s="1"/>
  <c r="AF40" i="7" s="1"/>
  <c r="AI40" i="7" s="1"/>
  <c r="AZ40" i="7"/>
  <c r="AF48" i="7"/>
  <c r="AI48" i="7" s="1"/>
  <c r="AL48" i="7" s="1"/>
  <c r="AO48" i="7" s="1"/>
  <c r="BB48" i="7"/>
  <c r="AF50" i="7"/>
  <c r="AI50" i="7" s="1"/>
  <c r="AL50" i="7" s="1"/>
  <c r="AO50" i="7" s="1"/>
  <c r="BB50" i="7"/>
  <c r="J6" i="7"/>
  <c r="R56" i="7"/>
  <c r="BF5" i="7"/>
  <c r="AM5" i="7"/>
  <c r="AO5" i="7" s="1"/>
  <c r="AP5" i="7"/>
  <c r="AN56" i="7"/>
  <c r="Q19" i="7"/>
  <c r="T17" i="7"/>
  <c r="G56" i="7"/>
  <c r="S56" i="7"/>
  <c r="AQ56" i="7"/>
  <c r="AX11" i="7"/>
  <c r="AX12" i="7" s="1"/>
  <c r="AV32" i="7"/>
  <c r="AV33" i="7" s="1"/>
  <c r="AG41" i="7"/>
  <c r="AG42" i="7" s="1"/>
  <c r="AA41" i="7"/>
  <c r="AA42" i="7" s="1"/>
  <c r="AJ41" i="7"/>
  <c r="AJ42" i="7" s="1"/>
  <c r="AD41" i="7"/>
  <c r="AD42" i="7" s="1"/>
  <c r="AD56" i="7" s="1"/>
  <c r="X41" i="7"/>
  <c r="J54" i="7"/>
  <c r="AW32" i="7"/>
  <c r="AW33" i="7" s="1"/>
  <c r="AV11" i="7"/>
  <c r="AV12" i="7" s="1"/>
  <c r="AZ26" i="7"/>
  <c r="J42" i="7"/>
  <c r="AV38" i="7"/>
  <c r="T47" i="7"/>
  <c r="AW40" i="7"/>
  <c r="BA40" i="7"/>
  <c r="AY47" i="7"/>
  <c r="AY48" i="7"/>
  <c r="AY49" i="7"/>
  <c r="BC49" i="7"/>
  <c r="AY50" i="7"/>
  <c r="O51" i="7"/>
  <c r="AA53" i="7"/>
  <c r="AA54" i="7" s="1"/>
  <c r="AX40" i="7"/>
  <c r="AV47" i="7"/>
  <c r="AV48" i="7"/>
  <c r="AZ48" i="7"/>
  <c r="BD48" i="7"/>
  <c r="AV49" i="7"/>
  <c r="AZ49" i="7"/>
  <c r="AV50" i="7"/>
  <c r="AZ50" i="7"/>
  <c r="BD50" i="7"/>
  <c r="AV39" i="7"/>
  <c r="AY40" i="7"/>
  <c r="AW47" i="7"/>
  <c r="AW48" i="7"/>
  <c r="BA48" i="7"/>
  <c r="AW49" i="7"/>
  <c r="BA49" i="7"/>
  <c r="AW50" i="7"/>
  <c r="BA50" i="7"/>
  <c r="L51" i="7"/>
  <c r="X53" i="7"/>
  <c r="AD53" i="7"/>
  <c r="AD54" i="7" s="1"/>
  <c r="G13" i="8" l="1"/>
  <c r="AA56" i="7"/>
  <c r="BC40" i="7"/>
  <c r="BE50" i="7"/>
  <c r="BB40" i="7"/>
  <c r="BC50" i="7"/>
  <c r="AX39" i="7"/>
  <c r="BE49" i="7"/>
  <c r="BD49" i="7"/>
  <c r="BE48" i="7"/>
  <c r="AG19" i="7"/>
  <c r="AG56" i="7" s="1"/>
  <c r="X54" i="7"/>
  <c r="Z53" i="7"/>
  <c r="AM6" i="7"/>
  <c r="AM56" i="7" s="1"/>
  <c r="AO4" i="7"/>
  <c r="AV54" i="7"/>
  <c r="AR5" i="7"/>
  <c r="BG5" i="7" s="1"/>
  <c r="AL40" i="7"/>
  <c r="BD40" i="7"/>
  <c r="T33" i="7"/>
  <c r="W32" i="7"/>
  <c r="AY32" i="7"/>
  <c r="AY33" i="7" s="1"/>
  <c r="Q52" i="7"/>
  <c r="AW52" i="7"/>
  <c r="AR49" i="7"/>
  <c r="BG49" i="7" s="1"/>
  <c r="BF49" i="7"/>
  <c r="AL18" i="7"/>
  <c r="AR48" i="7"/>
  <c r="BG48" i="7" s="1"/>
  <c r="BF48" i="7"/>
  <c r="W47" i="7"/>
  <c r="W17" i="7"/>
  <c r="T19" i="7"/>
  <c r="AR50" i="7"/>
  <c r="BG50" i="7" s="1"/>
  <c r="BF50" i="7"/>
  <c r="AC39" i="7"/>
  <c r="BA39" i="7"/>
  <c r="AJ19" i="7"/>
  <c r="AJ56" i="7" s="1"/>
  <c r="W25" i="7"/>
  <c r="AY25" i="7"/>
  <c r="AY27" i="7" s="1"/>
  <c r="T27" i="7"/>
  <c r="O54" i="7"/>
  <c r="O56" i="7" s="1"/>
  <c r="BC48" i="7"/>
  <c r="AV42" i="7"/>
  <c r="L54" i="7"/>
  <c r="L56" i="7" s="1"/>
  <c r="N51" i="7"/>
  <c r="AZ39" i="7"/>
  <c r="AY39" i="7"/>
  <c r="Z41" i="7"/>
  <c r="X42" i="7"/>
  <c r="X56" i="7" s="1"/>
  <c r="J56" i="7"/>
  <c r="N42" i="7"/>
  <c r="Q38" i="7"/>
  <c r="AW38" i="7"/>
  <c r="AW42" i="7" s="1"/>
  <c r="AC26" i="7"/>
  <c r="BA26" i="7"/>
  <c r="AY17" i="7"/>
  <c r="AY19" i="7" s="1"/>
  <c r="W11" i="7"/>
  <c r="AY11" i="7"/>
  <c r="AY12" i="7" s="1"/>
  <c r="T12" i="7"/>
  <c r="AP6" i="7"/>
  <c r="AP56" i="7" s="1"/>
  <c r="BD18" i="7"/>
  <c r="AV56" i="7" l="1"/>
  <c r="Q42" i="7"/>
  <c r="T38" i="7"/>
  <c r="AX38" i="7"/>
  <c r="AX42" i="7" s="1"/>
  <c r="AC41" i="7"/>
  <c r="BA41" i="7"/>
  <c r="Z47" i="7"/>
  <c r="AZ47" i="7"/>
  <c r="AO18" i="7"/>
  <c r="BE18" i="7"/>
  <c r="AO6" i="7"/>
  <c r="AR4" i="7"/>
  <c r="BF4" i="7"/>
  <c r="BF6" i="7" s="1"/>
  <c r="N56" i="7"/>
  <c r="AO40" i="7"/>
  <c r="BE40" i="7"/>
  <c r="T52" i="7"/>
  <c r="AX52" i="7"/>
  <c r="AF26" i="7"/>
  <c r="BB26" i="7"/>
  <c r="AF39" i="7"/>
  <c r="BB39" i="7"/>
  <c r="Z17" i="7"/>
  <c r="W19" i="7"/>
  <c r="AZ17" i="7"/>
  <c r="AZ19" i="7" s="1"/>
  <c r="Z32" i="7"/>
  <c r="W33" i="7"/>
  <c r="AZ32" i="7"/>
  <c r="AZ33" i="7" s="1"/>
  <c r="AC53" i="7"/>
  <c r="BA53" i="7"/>
  <c r="W12" i="7"/>
  <c r="Z11" i="7"/>
  <c r="AZ11" i="7"/>
  <c r="AZ12" i="7" s="1"/>
  <c r="Q51" i="7"/>
  <c r="N54" i="7"/>
  <c r="AW51" i="7"/>
  <c r="AW54" i="7" s="1"/>
  <c r="AW56" i="7" s="1"/>
  <c r="W27" i="7"/>
  <c r="Z25" i="7"/>
  <c r="AZ25" i="7"/>
  <c r="AZ27" i="7" s="1"/>
  <c r="AC25" i="7" l="1"/>
  <c r="Z27" i="7"/>
  <c r="BA25" i="7"/>
  <c r="BA27" i="7" s="1"/>
  <c r="AF53" i="7"/>
  <c r="BB53" i="7"/>
  <c r="AI39" i="7"/>
  <c r="BC39" i="7"/>
  <c r="AX56" i="7"/>
  <c r="T51" i="7"/>
  <c r="Q54" i="7"/>
  <c r="AX51" i="7"/>
  <c r="AX54" i="7" s="1"/>
  <c r="AC32" i="7"/>
  <c r="BA32" i="7"/>
  <c r="BA33" i="7" s="1"/>
  <c r="Z33" i="7"/>
  <c r="AR40" i="7"/>
  <c r="BG40" i="7" s="1"/>
  <c r="BF40" i="7"/>
  <c r="AR6" i="7"/>
  <c r="BG4" i="7"/>
  <c r="BG6" i="7" s="1"/>
  <c r="AF41" i="7"/>
  <c r="BB41" i="7"/>
  <c r="AC11" i="7"/>
  <c r="BA11" i="7"/>
  <c r="BA12" i="7" s="1"/>
  <c r="Z12" i="7"/>
  <c r="W52" i="7"/>
  <c r="AY52" i="7"/>
  <c r="AC47" i="7"/>
  <c r="BA47" i="7"/>
  <c r="T42" i="7"/>
  <c r="AY38" i="7"/>
  <c r="AY42" i="7" s="1"/>
  <c r="W38" i="7"/>
  <c r="AC17" i="7"/>
  <c r="Z19" i="7"/>
  <c r="BA17" i="7"/>
  <c r="BA19" i="7" s="1"/>
  <c r="BC26" i="7"/>
  <c r="AI26" i="7"/>
  <c r="AR18" i="7"/>
  <c r="BG18" i="7" s="1"/>
  <c r="BF18" i="7"/>
  <c r="Q56" i="7"/>
  <c r="AL26" i="7" l="1"/>
  <c r="BD26" i="7"/>
  <c r="AC19" i="7"/>
  <c r="AF17" i="7"/>
  <c r="BB17" i="7"/>
  <c r="BB19" i="7" s="1"/>
  <c r="AC12" i="7"/>
  <c r="AF11" i="7"/>
  <c r="BB11" i="7"/>
  <c r="BB12" i="7" s="1"/>
  <c r="Z52" i="7"/>
  <c r="AZ52" i="7"/>
  <c r="W51" i="7"/>
  <c r="AY51" i="7"/>
  <c r="AY54" i="7" s="1"/>
  <c r="T54" i="7"/>
  <c r="T56" i="7" s="1"/>
  <c r="AL39" i="7"/>
  <c r="BD39" i="7"/>
  <c r="W42" i="7"/>
  <c r="Z38" i="7"/>
  <c r="AZ38" i="7"/>
  <c r="AZ42" i="7" s="1"/>
  <c r="AF47" i="7"/>
  <c r="BB47" i="7"/>
  <c r="AC33" i="7"/>
  <c r="BB32" i="7"/>
  <c r="BB33" i="7" s="1"/>
  <c r="AF32" i="7"/>
  <c r="AY56" i="7"/>
  <c r="AI41" i="7"/>
  <c r="BC41" i="7"/>
  <c r="AI53" i="7"/>
  <c r="BC53" i="7"/>
  <c r="AC27" i="7"/>
  <c r="AF25" i="7"/>
  <c r="BB25" i="7"/>
  <c r="BB27" i="7" s="1"/>
  <c r="AL41" i="7" l="1"/>
  <c r="BD41" i="7"/>
  <c r="AI47" i="7"/>
  <c r="BC47" i="7"/>
  <c r="AO39" i="7"/>
  <c r="BE39" i="7"/>
  <c r="AI17" i="7"/>
  <c r="AF19" i="7"/>
  <c r="BC17" i="7"/>
  <c r="BC19" i="7" s="1"/>
  <c r="AI11" i="7"/>
  <c r="AF12" i="7"/>
  <c r="BC11" i="7"/>
  <c r="BC12" i="7" s="1"/>
  <c r="AL53" i="7"/>
  <c r="BD53" i="7"/>
  <c r="AC52" i="7"/>
  <c r="BA52" i="7"/>
  <c r="BC25" i="7"/>
  <c r="BC27" i="7" s="1"/>
  <c r="AI25" i="7"/>
  <c r="AF27" i="7"/>
  <c r="AF33" i="7"/>
  <c r="AI32" i="7"/>
  <c r="BC32" i="7"/>
  <c r="BC33" i="7" s="1"/>
  <c r="Z42" i="7"/>
  <c r="AC38" i="7"/>
  <c r="BA38" i="7"/>
  <c r="BA42" i="7" s="1"/>
  <c r="Z51" i="7"/>
  <c r="AZ51" i="7"/>
  <c r="AZ54" i="7" s="1"/>
  <c r="AZ56" i="7" s="1"/>
  <c r="W54" i="7"/>
  <c r="W56" i="7" s="1"/>
  <c r="AO26" i="7"/>
  <c r="BE26" i="7"/>
  <c r="AC51" i="7" l="1"/>
  <c r="BA51" i="7"/>
  <c r="BA54" i="7" s="1"/>
  <c r="BA56" i="7" s="1"/>
  <c r="Z54" i="7"/>
  <c r="AO53" i="7"/>
  <c r="BE53" i="7"/>
  <c r="AR26" i="7"/>
  <c r="BG26" i="7" s="1"/>
  <c r="BF26" i="7"/>
  <c r="AI27" i="7"/>
  <c r="AL25" i="7"/>
  <c r="BD25" i="7"/>
  <c r="BD27" i="7" s="1"/>
  <c r="AF52" i="7"/>
  <c r="BB52" i="7"/>
  <c r="AI12" i="7"/>
  <c r="AL11" i="7"/>
  <c r="BD11" i="7"/>
  <c r="BD12" i="7" s="1"/>
  <c r="AL47" i="7"/>
  <c r="BD47" i="7"/>
  <c r="AL17" i="7"/>
  <c r="AI19" i="7"/>
  <c r="BD17" i="7"/>
  <c r="BD19" i="7" s="1"/>
  <c r="AC42" i="7"/>
  <c r="AF38" i="7"/>
  <c r="BB38" i="7"/>
  <c r="BB42" i="7" s="1"/>
  <c r="AL32" i="7"/>
  <c r="AI33" i="7"/>
  <c r="BD32" i="7"/>
  <c r="BD33" i="7" s="1"/>
  <c r="AR39" i="7"/>
  <c r="BG39" i="7" s="1"/>
  <c r="BF39" i="7"/>
  <c r="Z56" i="7"/>
  <c r="AO41" i="7"/>
  <c r="BE41" i="7"/>
  <c r="AI52" i="7" l="1"/>
  <c r="BC52" i="7"/>
  <c r="AR41" i="7"/>
  <c r="BG41" i="7" s="1"/>
  <c r="BF41" i="7"/>
  <c r="AO32" i="7"/>
  <c r="BE32" i="7"/>
  <c r="BE33" i="7" s="1"/>
  <c r="AL33" i="7"/>
  <c r="AO11" i="7"/>
  <c r="BE11" i="7"/>
  <c r="BE12" i="7" s="1"/>
  <c r="AL12" i="7"/>
  <c r="AR53" i="7"/>
  <c r="BG53" i="7" s="1"/>
  <c r="BF53" i="7"/>
  <c r="AL27" i="7"/>
  <c r="BE25" i="7"/>
  <c r="BE27" i="7" s="1"/>
  <c r="AO25" i="7"/>
  <c r="AF42" i="7"/>
  <c r="AI38" i="7"/>
  <c r="BC38" i="7"/>
  <c r="BC42" i="7" s="1"/>
  <c r="AO17" i="7"/>
  <c r="AL19" i="7"/>
  <c r="BE17" i="7"/>
  <c r="BE19" i="7" s="1"/>
  <c r="AO47" i="7"/>
  <c r="BE47" i="7"/>
  <c r="AF51" i="7"/>
  <c r="BB51" i="7"/>
  <c r="BB54" i="7" s="1"/>
  <c r="BB56" i="7" s="1"/>
  <c r="AC54" i="7"/>
  <c r="AC56" i="7" s="1"/>
  <c r="AO27" i="7" l="1"/>
  <c r="AR25" i="7"/>
  <c r="BF25" i="7"/>
  <c r="BF27" i="7" s="1"/>
  <c r="BC56" i="7"/>
  <c r="AR47" i="7"/>
  <c r="BF47" i="7"/>
  <c r="AO19" i="7"/>
  <c r="AR17" i="7"/>
  <c r="BF17" i="7"/>
  <c r="BF19" i="7" s="1"/>
  <c r="AI51" i="7"/>
  <c r="BC51" i="7"/>
  <c r="BC54" i="7" s="1"/>
  <c r="AF54" i="7"/>
  <c r="AL38" i="7"/>
  <c r="AI42" i="7"/>
  <c r="BD38" i="7"/>
  <c r="BD42" i="7" s="1"/>
  <c r="AF56" i="7"/>
  <c r="AO12" i="7"/>
  <c r="AR11" i="7"/>
  <c r="BF11" i="7"/>
  <c r="BF12" i="7" s="1"/>
  <c r="AO33" i="7"/>
  <c r="BF32" i="7"/>
  <c r="BF33" i="7" s="1"/>
  <c r="AR32" i="7"/>
  <c r="AL52" i="7"/>
  <c r="BD52" i="7"/>
  <c r="AL42" i="7" l="1"/>
  <c r="BE38" i="7"/>
  <c r="BE42" i="7" s="1"/>
  <c r="AO38" i="7"/>
  <c r="BG47" i="7"/>
  <c r="AR19" i="7"/>
  <c r="BG17" i="7"/>
  <c r="BG19" i="7" s="1"/>
  <c r="AO52" i="7"/>
  <c r="BE52" i="7"/>
  <c r="AR33" i="7"/>
  <c r="BG32" i="7"/>
  <c r="BG33" i="7" s="1"/>
  <c r="BG11" i="7"/>
  <c r="BG12" i="7" s="1"/>
  <c r="AR12" i="7"/>
  <c r="BG25" i="7"/>
  <c r="BG27" i="7" s="1"/>
  <c r="AR27" i="7"/>
  <c r="AL51" i="7"/>
  <c r="BD51" i="7"/>
  <c r="BD54" i="7" s="1"/>
  <c r="BD56" i="7" s="1"/>
  <c r="AI54" i="7"/>
  <c r="AI56" i="7" s="1"/>
  <c r="AO51" i="7" l="1"/>
  <c r="BE51" i="7"/>
  <c r="BE54" i="7" s="1"/>
  <c r="AL54" i="7"/>
  <c r="AL56" i="7" s="1"/>
  <c r="AO42" i="7"/>
  <c r="AR38" i="7"/>
  <c r="BF38" i="7"/>
  <c r="BF42" i="7" s="1"/>
  <c r="BE56" i="7"/>
  <c r="AR52" i="7"/>
  <c r="BG52" i="7" s="1"/>
  <c r="BF52" i="7"/>
  <c r="AR42" i="7" l="1"/>
  <c r="BG42" i="7"/>
  <c r="AR51" i="7"/>
  <c r="BF51" i="7"/>
  <c r="BF54" i="7" s="1"/>
  <c r="BF56" i="7" s="1"/>
  <c r="AO54" i="7"/>
  <c r="AO56" i="7" s="1"/>
  <c r="BG51" i="7" l="1"/>
  <c r="BG54" i="7" s="1"/>
  <c r="BG56" i="7" s="1"/>
  <c r="AR54" i="7"/>
  <c r="AR56" i="7" s="1"/>
  <c r="P62" i="2"/>
  <c r="P60" i="2"/>
  <c r="P59" i="2"/>
  <c r="P53" i="2"/>
  <c r="P66" i="2"/>
  <c r="O18" i="2"/>
  <c r="O34" i="2"/>
  <c r="O47" i="2"/>
  <c r="O126" i="2"/>
  <c r="O129" i="2" s="1"/>
  <c r="M62" i="2"/>
  <c r="M40" i="2"/>
  <c r="M18" i="2"/>
  <c r="M33" i="2"/>
  <c r="C129" i="2"/>
  <c r="F129" i="2"/>
  <c r="C93" i="2"/>
  <c r="F93" i="2"/>
  <c r="M129" i="2"/>
  <c r="M53" i="2"/>
  <c r="M150" i="2"/>
  <c r="M136" i="2"/>
  <c r="O93" i="2" l="1"/>
  <c r="O133" i="2" s="1"/>
  <c r="O139" i="2" s="1"/>
  <c r="M93" i="2"/>
  <c r="M133" i="2" s="1"/>
  <c r="N46" i="2"/>
  <c r="N47" i="2"/>
  <c r="C137" i="2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BF26" i="4" s="1"/>
  <c r="BF27" i="4" s="1"/>
  <c r="AQ26" i="4"/>
  <c r="AN26" i="4"/>
  <c r="AN27" i="4" s="1"/>
  <c r="AK26" i="4"/>
  <c r="AH26" i="4"/>
  <c r="AH27" i="4" s="1"/>
  <c r="AE26" i="4"/>
  <c r="H26" i="4"/>
  <c r="H27" i="4" s="1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M27" i="4"/>
  <c r="AL27" i="4"/>
  <c r="AK27" i="4"/>
  <c r="AJ27" i="4"/>
  <c r="AI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G27" i="4"/>
  <c r="F27" i="4"/>
  <c r="E27" i="4"/>
  <c r="F136" i="2"/>
  <c r="C136" i="2"/>
  <c r="F156" i="2"/>
  <c r="F158" i="2" s="1"/>
  <c r="C156" i="2"/>
  <c r="F161" i="2"/>
  <c r="C161" i="2"/>
  <c r="C162" i="2" s="1"/>
  <c r="F160" i="2"/>
  <c r="K14" i="2"/>
  <c r="L14" i="2" s="1"/>
  <c r="K28" i="2"/>
  <c r="L28" i="2" s="1"/>
  <c r="N28" i="2" s="1"/>
  <c r="K26" i="2"/>
  <c r="L26" i="2" s="1"/>
  <c r="N26" i="2" s="1"/>
  <c r="Q26" i="2" s="1"/>
  <c r="D23" i="1"/>
  <c r="C23" i="1"/>
  <c r="A23" i="1"/>
  <c r="B23" i="1" s="1"/>
  <c r="D95" i="1"/>
  <c r="C95" i="1"/>
  <c r="A95" i="1"/>
  <c r="B95" i="1" s="1"/>
  <c r="K147" i="2"/>
  <c r="L13" i="2"/>
  <c r="N13" i="2" s="1"/>
  <c r="C13" i="1"/>
  <c r="D13" i="1" s="1"/>
  <c r="A13" i="1"/>
  <c r="B13" i="1" s="1"/>
  <c r="K12" i="2"/>
  <c r="L12" i="2" s="1"/>
  <c r="N12" i="2" s="1"/>
  <c r="C12" i="1"/>
  <c r="D12" i="1" s="1"/>
  <c r="A12" i="1"/>
  <c r="B12" i="1" s="1"/>
  <c r="K10" i="2"/>
  <c r="L10" i="2" s="1"/>
  <c r="N10" i="2" s="1"/>
  <c r="K11" i="2"/>
  <c r="L11" i="2" s="1"/>
  <c r="N11" i="2" s="1"/>
  <c r="P11" i="2" s="1"/>
  <c r="Q11" i="2" s="1"/>
  <c r="K41" i="2"/>
  <c r="N41" i="2" s="1"/>
  <c r="L40" i="2"/>
  <c r="N40" i="2" s="1"/>
  <c r="L42" i="2"/>
  <c r="N42" i="2" s="1"/>
  <c r="K52" i="2"/>
  <c r="L52" i="2" s="1"/>
  <c r="N52" i="2" s="1"/>
  <c r="K53" i="2"/>
  <c r="L53" i="2" s="1"/>
  <c r="N53" i="2" s="1"/>
  <c r="K48" i="2"/>
  <c r="L48" i="2" s="1"/>
  <c r="N48" i="2" s="1"/>
  <c r="K49" i="2"/>
  <c r="L49" i="2" s="1"/>
  <c r="N49" i="2" s="1"/>
  <c r="K50" i="2"/>
  <c r="L50" i="2" s="1"/>
  <c r="N50" i="2" s="1"/>
  <c r="K56" i="2"/>
  <c r="L56" i="2" s="1"/>
  <c r="N56" i="2" s="1"/>
  <c r="K57" i="2"/>
  <c r="L57" i="2" s="1"/>
  <c r="N57" i="2" s="1"/>
  <c r="K58" i="2"/>
  <c r="L58" i="2" s="1"/>
  <c r="N58" i="2" s="1"/>
  <c r="K59" i="2"/>
  <c r="L59" i="2" s="1"/>
  <c r="N59" i="2" s="1"/>
  <c r="K60" i="2"/>
  <c r="L60" i="2" s="1"/>
  <c r="N60" i="2" s="1"/>
  <c r="L62" i="2"/>
  <c r="N62" i="2" s="1"/>
  <c r="K63" i="2"/>
  <c r="L63" i="2" s="1"/>
  <c r="N63" i="2" s="1"/>
  <c r="K64" i="2"/>
  <c r="L64" i="2" s="1"/>
  <c r="N64" i="2" s="1"/>
  <c r="P64" i="2" s="1"/>
  <c r="Q64" i="2" s="1"/>
  <c r="C41" i="1"/>
  <c r="D41" i="1" s="1"/>
  <c r="A41" i="1"/>
  <c r="B41" i="1" s="1"/>
  <c r="C40" i="1"/>
  <c r="D40" i="1" s="1"/>
  <c r="A40" i="1"/>
  <c r="B40" i="1" s="1"/>
  <c r="C39" i="1"/>
  <c r="D39" i="1" s="1"/>
  <c r="A39" i="1"/>
  <c r="B39" i="1" s="1"/>
  <c r="C49" i="1"/>
  <c r="D49" i="1" s="1"/>
  <c r="A49" i="1"/>
  <c r="B49" i="1" s="1"/>
  <c r="C48" i="1"/>
  <c r="D48" i="1" s="1"/>
  <c r="A48" i="1"/>
  <c r="B48" i="1" s="1"/>
  <c r="C47" i="1"/>
  <c r="D47" i="1" s="1"/>
  <c r="A47" i="1"/>
  <c r="B47" i="1" s="1"/>
  <c r="C46" i="1"/>
  <c r="D46" i="1" s="1"/>
  <c r="A46" i="1"/>
  <c r="B46" i="1" s="1"/>
  <c r="C45" i="1"/>
  <c r="D45" i="1" s="1"/>
  <c r="A45" i="1"/>
  <c r="B45" i="1" s="1"/>
  <c r="C44" i="1"/>
  <c r="D44" i="1" s="1"/>
  <c r="A44" i="1"/>
  <c r="B44" i="1" s="1"/>
  <c r="C43" i="1"/>
  <c r="D43" i="1" s="1"/>
  <c r="A43" i="1"/>
  <c r="B43" i="1" s="1"/>
  <c r="C42" i="1"/>
  <c r="D42" i="1" s="1"/>
  <c r="A42" i="1"/>
  <c r="B42" i="1" s="1"/>
  <c r="K38" i="2"/>
  <c r="L38" i="2" s="1"/>
  <c r="N38" i="2" s="1"/>
  <c r="Q38" i="2" s="1"/>
  <c r="K39" i="2"/>
  <c r="L39" i="2" s="1"/>
  <c r="N39" i="2" s="1"/>
  <c r="Q39" i="2" s="1"/>
  <c r="K37" i="2"/>
  <c r="L37" i="2" s="1"/>
  <c r="N37" i="2" s="1"/>
  <c r="K36" i="2"/>
  <c r="L36" i="2" s="1"/>
  <c r="N36" i="2" s="1"/>
  <c r="Q36" i="2" s="1"/>
  <c r="K33" i="2"/>
  <c r="P34" i="2"/>
  <c r="N34" i="2"/>
  <c r="K34" i="2"/>
  <c r="L34" i="2"/>
  <c r="P33" i="2"/>
  <c r="N33" i="2"/>
  <c r="L33" i="2"/>
  <c r="H85" i="2"/>
  <c r="K85" i="2"/>
  <c r="L78" i="2"/>
  <c r="N78" i="2"/>
  <c r="K78" i="2"/>
  <c r="G18" i="6"/>
  <c r="F18" i="6"/>
  <c r="E18" i="6"/>
  <c r="D18" i="6"/>
  <c r="C18" i="6"/>
  <c r="G16" i="6"/>
  <c r="F16" i="6"/>
  <c r="G15" i="6"/>
  <c r="F15" i="6"/>
  <c r="E15" i="6"/>
  <c r="G14" i="6"/>
  <c r="F14" i="6"/>
  <c r="E14" i="6"/>
  <c r="D14" i="6"/>
  <c r="F13" i="6"/>
  <c r="E13" i="6"/>
  <c r="D13" i="6"/>
  <c r="K30" i="2"/>
  <c r="L30" i="2" s="1"/>
  <c r="N30" i="2" s="1"/>
  <c r="Q30" i="2" s="1"/>
  <c r="K31" i="2"/>
  <c r="L31" i="2" s="1"/>
  <c r="N31" i="2" s="1"/>
  <c r="Q31" i="2" s="1"/>
  <c r="K17" i="2"/>
  <c r="L17" i="2" s="1"/>
  <c r="N17" i="2" s="1"/>
  <c r="K18" i="2"/>
  <c r="L18" i="2" s="1"/>
  <c r="N18" i="2" s="1"/>
  <c r="K19" i="2"/>
  <c r="L19" i="2" s="1"/>
  <c r="N19" i="2" s="1"/>
  <c r="K16" i="2"/>
  <c r="L16" i="2" s="1"/>
  <c r="N16" i="2" s="1"/>
  <c r="H24" i="2"/>
  <c r="H74" i="2"/>
  <c r="H67" i="2"/>
  <c r="Q67" i="2" s="1"/>
  <c r="H72" i="2"/>
  <c r="H71" i="2"/>
  <c r="L96" i="2"/>
  <c r="P150" i="2"/>
  <c r="F8" i="6"/>
  <c r="F10" i="6" s="1"/>
  <c r="E8" i="6"/>
  <c r="E10" i="6" s="1"/>
  <c r="N150" i="2" s="1"/>
  <c r="D8" i="6"/>
  <c r="D6" i="6"/>
  <c r="D10" i="6" s="1"/>
  <c r="L150" i="2" s="1"/>
  <c r="G10" i="6"/>
  <c r="C6" i="6"/>
  <c r="C10" i="6" s="1"/>
  <c r="B10" i="6"/>
  <c r="B11" i="6" s="1"/>
  <c r="B6" i="6"/>
  <c r="C16" i="3"/>
  <c r="D16" i="3" s="1"/>
  <c r="K118" i="2" s="1"/>
  <c r="K129" i="2" s="1"/>
  <c r="C11" i="1"/>
  <c r="D11" i="1" s="1"/>
  <c r="A11" i="1"/>
  <c r="B11" i="1" s="1"/>
  <c r="C10" i="1"/>
  <c r="D10" i="1" s="1"/>
  <c r="A10" i="1"/>
  <c r="B10" i="1" s="1"/>
  <c r="C24" i="1"/>
  <c r="D24" i="1" s="1"/>
  <c r="A24" i="1"/>
  <c r="B24" i="1" s="1"/>
  <c r="C70" i="1"/>
  <c r="D70" i="1" s="1"/>
  <c r="A70" i="1"/>
  <c r="B70" i="1" s="1"/>
  <c r="C38" i="1"/>
  <c r="D38" i="1" s="1"/>
  <c r="A38" i="1"/>
  <c r="B38" i="1" s="1"/>
  <c r="C37" i="1"/>
  <c r="D37" i="1" s="1"/>
  <c r="A37" i="1"/>
  <c r="B37" i="1" s="1"/>
  <c r="C36" i="1"/>
  <c r="D36" i="1" s="1"/>
  <c r="A36" i="1"/>
  <c r="B36" i="1" s="1"/>
  <c r="C35" i="1"/>
  <c r="D35" i="1" s="1"/>
  <c r="A35" i="1"/>
  <c r="B35" i="1" s="1"/>
  <c r="C33" i="1"/>
  <c r="D33" i="1" s="1"/>
  <c r="A33" i="1"/>
  <c r="B33" i="1" s="1"/>
  <c r="C32" i="1"/>
  <c r="D32" i="1" s="1"/>
  <c r="A32" i="1"/>
  <c r="B32" i="1" s="1"/>
  <c r="C31" i="1"/>
  <c r="D31" i="1" s="1"/>
  <c r="A31" i="1"/>
  <c r="B31" i="1" s="1"/>
  <c r="C30" i="1"/>
  <c r="D30" i="1" s="1"/>
  <c r="A30" i="1"/>
  <c r="B30" i="1" s="1"/>
  <c r="C29" i="1"/>
  <c r="D29" i="1" s="1"/>
  <c r="A29" i="1"/>
  <c r="B29" i="1" s="1"/>
  <c r="C28" i="1"/>
  <c r="D28" i="1" s="1"/>
  <c r="A28" i="1"/>
  <c r="B28" i="1" s="1"/>
  <c r="C27" i="1"/>
  <c r="D27" i="1" s="1"/>
  <c r="A27" i="1"/>
  <c r="B27" i="1" s="1"/>
  <c r="C26" i="1"/>
  <c r="D26" i="1" s="1"/>
  <c r="A26" i="1"/>
  <c r="B26" i="1" s="1"/>
  <c r="C25" i="1"/>
  <c r="D25" i="1" s="1"/>
  <c r="A25" i="1"/>
  <c r="B25" i="1" s="1"/>
  <c r="C19" i="1"/>
  <c r="D19" i="1" s="1"/>
  <c r="A19" i="1"/>
  <c r="B19" i="1" s="1"/>
  <c r="C18" i="1"/>
  <c r="D18" i="1" s="1"/>
  <c r="A18" i="1"/>
  <c r="B18" i="1" s="1"/>
  <c r="C17" i="1"/>
  <c r="D17" i="1" s="1"/>
  <c r="A17" i="1"/>
  <c r="B17" i="1" s="1"/>
  <c r="C16" i="1"/>
  <c r="D16" i="1" s="1"/>
  <c r="A16" i="1"/>
  <c r="B16" i="1" s="1"/>
  <c r="C15" i="1"/>
  <c r="D15" i="1" s="1"/>
  <c r="A15" i="1"/>
  <c r="B15" i="1" s="1"/>
  <c r="C14" i="1"/>
  <c r="D14" i="1" s="1"/>
  <c r="A14" i="1"/>
  <c r="B14" i="1" s="1"/>
  <c r="K22" i="2"/>
  <c r="L22" i="2" s="1"/>
  <c r="N22" i="2" s="1"/>
  <c r="Q22" i="2" s="1"/>
  <c r="K24" i="2"/>
  <c r="F3" i="5"/>
  <c r="K8" i="2" s="1"/>
  <c r="L8" i="2" s="1"/>
  <c r="E3" i="5"/>
  <c r="F5" i="5"/>
  <c r="F4" i="5"/>
  <c r="C5" i="1"/>
  <c r="D5" i="1" s="1"/>
  <c r="K4" i="2" s="1"/>
  <c r="A5" i="1"/>
  <c r="B5" i="1" s="1"/>
  <c r="AK50" i="4"/>
  <c r="AH49" i="4"/>
  <c r="AQ25" i="4"/>
  <c r="AN25" i="4"/>
  <c r="AK25" i="4"/>
  <c r="AH25" i="4"/>
  <c r="AR14" i="4"/>
  <c r="AQ14" i="4"/>
  <c r="AO14" i="4"/>
  <c r="AN14" i="4"/>
  <c r="AL14" i="4"/>
  <c r="AK14" i="4"/>
  <c r="AI14" i="4"/>
  <c r="AH14" i="4"/>
  <c r="AR20" i="4"/>
  <c r="AQ20" i="4"/>
  <c r="AO20" i="4"/>
  <c r="AN20" i="4"/>
  <c r="AL20" i="4"/>
  <c r="AK20" i="4"/>
  <c r="AI20" i="4"/>
  <c r="AH20" i="4"/>
  <c r="AR35" i="4"/>
  <c r="AQ35" i="4"/>
  <c r="AO35" i="4"/>
  <c r="AN35" i="4"/>
  <c r="AL35" i="4"/>
  <c r="AK35" i="4"/>
  <c r="AI35" i="4"/>
  <c r="AH35" i="4"/>
  <c r="AR41" i="4"/>
  <c r="AQ41" i="4"/>
  <c r="AO41" i="4"/>
  <c r="AN41" i="4"/>
  <c r="AL41" i="4"/>
  <c r="AK41" i="4"/>
  <c r="AI41" i="4"/>
  <c r="AH41" i="4"/>
  <c r="AR50" i="4"/>
  <c r="AQ50" i="4"/>
  <c r="AO50" i="4"/>
  <c r="AN50" i="4"/>
  <c r="AL50" i="4"/>
  <c r="AI50" i="4"/>
  <c r="AH50" i="4"/>
  <c r="AR62" i="4"/>
  <c r="AQ62" i="4"/>
  <c r="AO62" i="4"/>
  <c r="AN62" i="4"/>
  <c r="AL62" i="4"/>
  <c r="AK62" i="4"/>
  <c r="AI62" i="4"/>
  <c r="AH62" i="4"/>
  <c r="AR68" i="4"/>
  <c r="AQ68" i="4"/>
  <c r="AO68" i="4"/>
  <c r="AO70" i="4" s="1"/>
  <c r="AN68" i="4"/>
  <c r="AL68" i="4"/>
  <c r="AK68" i="4"/>
  <c r="AI68" i="4"/>
  <c r="AH68" i="4"/>
  <c r="AF68" i="4"/>
  <c r="AE68" i="4"/>
  <c r="AC68" i="4"/>
  <c r="AB68" i="4"/>
  <c r="Z68" i="4"/>
  <c r="Y68" i="4"/>
  <c r="W68" i="4"/>
  <c r="V68" i="4"/>
  <c r="U68" i="4"/>
  <c r="T68" i="4"/>
  <c r="S68" i="4"/>
  <c r="Q68" i="4"/>
  <c r="P68" i="4"/>
  <c r="N68" i="4"/>
  <c r="M68" i="4"/>
  <c r="K68" i="4"/>
  <c r="J68" i="4"/>
  <c r="G68" i="4"/>
  <c r="F68" i="4"/>
  <c r="E68" i="4"/>
  <c r="X67" i="4"/>
  <c r="AA67" i="4" s="1"/>
  <c r="AD67" i="4" s="1"/>
  <c r="AD68" i="4" s="1"/>
  <c r="H67" i="4"/>
  <c r="AY67" i="4" s="1"/>
  <c r="AY68" i="4" s="1"/>
  <c r="AF62" i="4"/>
  <c r="AE62" i="4"/>
  <c r="AC62" i="4"/>
  <c r="Z62" i="4"/>
  <c r="W62" i="4"/>
  <c r="T62" i="4"/>
  <c r="S62" i="4"/>
  <c r="Q62" i="4"/>
  <c r="P62" i="4"/>
  <c r="N62" i="4"/>
  <c r="K62" i="4"/>
  <c r="I62" i="4"/>
  <c r="G62" i="4"/>
  <c r="F62" i="4"/>
  <c r="E62" i="4"/>
  <c r="H61" i="4"/>
  <c r="Y61" i="4" s="1"/>
  <c r="Y62" i="4" s="1"/>
  <c r="H60" i="4"/>
  <c r="M60" i="4" s="1"/>
  <c r="H59" i="4"/>
  <c r="L58" i="4"/>
  <c r="O58" i="4" s="1"/>
  <c r="R58" i="4" s="1"/>
  <c r="H58" i="4"/>
  <c r="AT58" i="4" s="1"/>
  <c r="L57" i="4"/>
  <c r="H57" i="4"/>
  <c r="L56" i="4"/>
  <c r="O56" i="4" s="1"/>
  <c r="R56" i="4" s="1"/>
  <c r="H56" i="4"/>
  <c r="AT56" i="4" s="1"/>
  <c r="L55" i="4"/>
  <c r="O55" i="4" s="1"/>
  <c r="R55" i="4" s="1"/>
  <c r="U55" i="4" s="1"/>
  <c r="X55" i="4" s="1"/>
  <c r="AA55" i="4" s="1"/>
  <c r="H55" i="4"/>
  <c r="AF50" i="4"/>
  <c r="AC50" i="4"/>
  <c r="Z50" i="4"/>
  <c r="W50" i="4"/>
  <c r="T50" i="4"/>
  <c r="S50" i="4"/>
  <c r="Q50" i="4"/>
  <c r="P50" i="4"/>
  <c r="N50" i="4"/>
  <c r="M50" i="4"/>
  <c r="K50" i="4"/>
  <c r="J50" i="4"/>
  <c r="G50" i="4"/>
  <c r="F50" i="4"/>
  <c r="E50" i="4"/>
  <c r="H49" i="4"/>
  <c r="AE49" i="4" s="1"/>
  <c r="AE50" i="4" s="1"/>
  <c r="H48" i="4"/>
  <c r="I48" i="4" s="1"/>
  <c r="L48" i="4" s="1"/>
  <c r="O48" i="4" s="1"/>
  <c r="R48" i="4" s="1"/>
  <c r="U48" i="4" s="1"/>
  <c r="X48" i="4" s="1"/>
  <c r="AA48" i="4" s="1"/>
  <c r="AD48" i="4" s="1"/>
  <c r="H47" i="4"/>
  <c r="H46" i="4"/>
  <c r="AF41" i="4"/>
  <c r="AE41" i="4"/>
  <c r="AC41" i="4"/>
  <c r="AB41" i="4"/>
  <c r="Z41" i="4"/>
  <c r="Y41" i="4"/>
  <c r="W41" i="4"/>
  <c r="V41" i="4"/>
  <c r="T41" i="4"/>
  <c r="S41" i="4"/>
  <c r="Q41" i="4"/>
  <c r="P41" i="4"/>
  <c r="N41" i="4"/>
  <c r="M41" i="4"/>
  <c r="K41" i="4"/>
  <c r="J41" i="4"/>
  <c r="I41" i="4"/>
  <c r="G41" i="4"/>
  <c r="F41" i="4"/>
  <c r="E41" i="4"/>
  <c r="L40" i="4"/>
  <c r="H40" i="4"/>
  <c r="AV35" i="4"/>
  <c r="AU35" i="4"/>
  <c r="AT35" i="4"/>
  <c r="AF35" i="4"/>
  <c r="AE35" i="4"/>
  <c r="AC35" i="4"/>
  <c r="Z35" i="4"/>
  <c r="W35" i="4"/>
  <c r="T35" i="4"/>
  <c r="Q35" i="4"/>
  <c r="O35" i="4"/>
  <c r="N35" i="4"/>
  <c r="M35" i="4"/>
  <c r="L35" i="4"/>
  <c r="K35" i="4"/>
  <c r="J35" i="4"/>
  <c r="I35" i="4"/>
  <c r="G35" i="4"/>
  <c r="F35" i="4"/>
  <c r="E35" i="4"/>
  <c r="H34" i="4"/>
  <c r="P34" i="4" s="1"/>
  <c r="R34" i="4" s="1"/>
  <c r="H33" i="4"/>
  <c r="H35" i="4" s="1"/>
  <c r="L25" i="4"/>
  <c r="H25" i="4"/>
  <c r="V25" i="4" s="1"/>
  <c r="AF20" i="4"/>
  <c r="AE20" i="4"/>
  <c r="AC20" i="4"/>
  <c r="AB20" i="4"/>
  <c r="Z20" i="4"/>
  <c r="Y20" i="4"/>
  <c r="W20" i="4"/>
  <c r="V20" i="4"/>
  <c r="T20" i="4"/>
  <c r="S20" i="4"/>
  <c r="Q20" i="4"/>
  <c r="P20" i="4"/>
  <c r="K20" i="4"/>
  <c r="J20" i="4"/>
  <c r="I20" i="4"/>
  <c r="G20" i="4"/>
  <c r="F20" i="4"/>
  <c r="E20" i="4"/>
  <c r="L19" i="4"/>
  <c r="L20" i="4" s="1"/>
  <c r="H19" i="4"/>
  <c r="H20" i="4" s="1"/>
  <c r="AF14" i="4"/>
  <c r="AE14" i="4"/>
  <c r="AC14" i="4"/>
  <c r="AB14" i="4"/>
  <c r="Z14" i="4"/>
  <c r="Y14" i="4"/>
  <c r="W14" i="4"/>
  <c r="V14" i="4"/>
  <c r="T14" i="4"/>
  <c r="S14" i="4"/>
  <c r="Q14" i="4"/>
  <c r="P14" i="4"/>
  <c r="N14" i="4"/>
  <c r="K14" i="4"/>
  <c r="G14" i="4"/>
  <c r="F14" i="4"/>
  <c r="E14" i="4"/>
  <c r="H13" i="4"/>
  <c r="H12" i="4"/>
  <c r="H11" i="4"/>
  <c r="H10" i="4"/>
  <c r="H9" i="4"/>
  <c r="H8" i="4"/>
  <c r="H7" i="4"/>
  <c r="H6" i="4"/>
  <c r="H5" i="4"/>
  <c r="L4" i="4"/>
  <c r="O4" i="4" s="1"/>
  <c r="H4" i="4"/>
  <c r="P74" i="2" l="1"/>
  <c r="Q74" i="2"/>
  <c r="P47" i="2"/>
  <c r="Q47" i="2"/>
  <c r="P46" i="2"/>
  <c r="Q46" i="2"/>
  <c r="P71" i="2"/>
  <c r="Q71" i="2"/>
  <c r="P63" i="2"/>
  <c r="Q63" i="2"/>
  <c r="P72" i="2"/>
  <c r="Q72" i="2"/>
  <c r="P22" i="2"/>
  <c r="P26" i="2"/>
  <c r="P38" i="2"/>
  <c r="P31" i="2"/>
  <c r="P39" i="2"/>
  <c r="P36" i="2"/>
  <c r="P30" i="2"/>
  <c r="O154" i="2"/>
  <c r="O152" i="2"/>
  <c r="M139" i="2"/>
  <c r="M152" i="2" s="1"/>
  <c r="H68" i="2"/>
  <c r="P67" i="2"/>
  <c r="L4" i="2"/>
  <c r="M154" i="2"/>
  <c r="L24" i="2"/>
  <c r="N24" i="2" s="1"/>
  <c r="Q24" i="2" s="1"/>
  <c r="AR70" i="4"/>
  <c r="C133" i="2"/>
  <c r="C139" i="2" s="1"/>
  <c r="F133" i="2"/>
  <c r="F139" i="2" s="1"/>
  <c r="C158" i="2"/>
  <c r="F162" i="2"/>
  <c r="L85" i="2"/>
  <c r="N85" i="2" s="1"/>
  <c r="P85" i="2" s="1"/>
  <c r="Q85" i="2" s="1"/>
  <c r="H75" i="2"/>
  <c r="H117" i="2" s="1"/>
  <c r="L117" i="2" s="1"/>
  <c r="L137" i="2" s="1"/>
  <c r="H69" i="2"/>
  <c r="Q69" i="2" s="1"/>
  <c r="H76" i="2"/>
  <c r="H118" i="2" s="1"/>
  <c r="C13" i="6"/>
  <c r="K150" i="2"/>
  <c r="AK70" i="4"/>
  <c r="L79" i="2" s="1"/>
  <c r="L136" i="2" s="1"/>
  <c r="O57" i="4"/>
  <c r="AV57" i="4" s="1"/>
  <c r="AU4" i="4"/>
  <c r="AI70" i="4"/>
  <c r="I6" i="4"/>
  <c r="L6" i="4" s="1"/>
  <c r="O6" i="4" s="1"/>
  <c r="R6" i="4" s="1"/>
  <c r="AW6" i="4" s="1"/>
  <c r="I10" i="4"/>
  <c r="L10" i="4" s="1"/>
  <c r="O10" i="4" s="1"/>
  <c r="R10" i="4" s="1"/>
  <c r="AW10" i="4" s="1"/>
  <c r="I7" i="4"/>
  <c r="AT7" i="4" s="1"/>
  <c r="AQ70" i="4"/>
  <c r="P136" i="2" s="1"/>
  <c r="L41" i="4"/>
  <c r="AU57" i="4"/>
  <c r="AN70" i="4"/>
  <c r="N79" i="2" s="1"/>
  <c r="N136" i="2" s="1"/>
  <c r="AH70" i="4"/>
  <c r="K79" i="2" s="1"/>
  <c r="K136" i="2" s="1"/>
  <c r="AL70" i="4"/>
  <c r="AT25" i="4"/>
  <c r="AW56" i="4"/>
  <c r="AV55" i="4"/>
  <c r="AU25" i="4"/>
  <c r="I8" i="4"/>
  <c r="L8" i="4" s="1"/>
  <c r="O8" i="4" s="1"/>
  <c r="R8" i="4" s="1"/>
  <c r="AW8" i="4" s="1"/>
  <c r="I11" i="4"/>
  <c r="L11" i="4" s="1"/>
  <c r="O11" i="4" s="1"/>
  <c r="R11" i="4" s="1"/>
  <c r="AW11" i="4" s="1"/>
  <c r="AT19" i="4"/>
  <c r="AT20" i="4" s="1"/>
  <c r="I12" i="4"/>
  <c r="L12" i="4" s="1"/>
  <c r="AU12" i="4" s="1"/>
  <c r="S33" i="4"/>
  <c r="AT4" i="4"/>
  <c r="E70" i="4"/>
  <c r="N70" i="4"/>
  <c r="AF70" i="4"/>
  <c r="AB25" i="4"/>
  <c r="AG67" i="4"/>
  <c r="U10" i="4"/>
  <c r="X10" i="4" s="1"/>
  <c r="AA10" i="4" s="1"/>
  <c r="AD10" i="4" s="1"/>
  <c r="AG10" i="4" s="1"/>
  <c r="AW58" i="4"/>
  <c r="U58" i="4"/>
  <c r="X58" i="4" s="1"/>
  <c r="AA58" i="4" s="1"/>
  <c r="AD58" i="4" s="1"/>
  <c r="AG58" i="4" s="1"/>
  <c r="L7" i="4"/>
  <c r="O7" i="4" s="1"/>
  <c r="R7" i="4" s="1"/>
  <c r="U7" i="4" s="1"/>
  <c r="AU19" i="4"/>
  <c r="AU20" i="4" s="1"/>
  <c r="Y33" i="4"/>
  <c r="Y49" i="4"/>
  <c r="Y50" i="4" s="1"/>
  <c r="U56" i="4"/>
  <c r="X56" i="4" s="1"/>
  <c r="AA56" i="4" s="1"/>
  <c r="AD56" i="4" s="1"/>
  <c r="AG56" i="4" s="1"/>
  <c r="AX67" i="4"/>
  <c r="AX68" i="4" s="1"/>
  <c r="Q70" i="4"/>
  <c r="W70" i="4"/>
  <c r="AC70" i="4"/>
  <c r="AB49" i="4"/>
  <c r="AB50" i="4" s="1"/>
  <c r="O19" i="4"/>
  <c r="O20" i="4" s="1"/>
  <c r="O25" i="4"/>
  <c r="O40" i="4"/>
  <c r="AV40" i="4" s="1"/>
  <c r="AV41" i="4" s="1"/>
  <c r="V49" i="4"/>
  <c r="AT13" i="4"/>
  <c r="M13" i="4"/>
  <c r="M14" i="4" s="1"/>
  <c r="J13" i="4"/>
  <c r="AG48" i="4"/>
  <c r="BA48" i="4"/>
  <c r="U11" i="4"/>
  <c r="R4" i="4"/>
  <c r="AW4" i="4" s="1"/>
  <c r="H14" i="4"/>
  <c r="I5" i="4"/>
  <c r="AT5" i="4" s="1"/>
  <c r="I9" i="4"/>
  <c r="L9" i="4" s="1"/>
  <c r="O9" i="4" s="1"/>
  <c r="AW34" i="4"/>
  <c r="AD55" i="4"/>
  <c r="AV4" i="4"/>
  <c r="AT10" i="4"/>
  <c r="F70" i="4"/>
  <c r="Z70" i="4"/>
  <c r="AU40" i="4"/>
  <c r="AU41" i="4" s="1"/>
  <c r="AX48" i="4"/>
  <c r="AU55" i="4"/>
  <c r="AT57" i="4"/>
  <c r="AA68" i="4"/>
  <c r="AU6" i="4"/>
  <c r="AV11" i="4"/>
  <c r="G70" i="4"/>
  <c r="K70" i="4"/>
  <c r="AB33" i="4"/>
  <c r="V33" i="4"/>
  <c r="P33" i="4"/>
  <c r="AB34" i="4"/>
  <c r="H41" i="4"/>
  <c r="AT40" i="4"/>
  <c r="AT41" i="4" s="1"/>
  <c r="I47" i="4"/>
  <c r="L47" i="4" s="1"/>
  <c r="AV48" i="4"/>
  <c r="T70" i="4"/>
  <c r="Y34" i="4"/>
  <c r="S34" i="4"/>
  <c r="V34" i="4"/>
  <c r="AW48" i="4"/>
  <c r="AX55" i="4"/>
  <c r="AT55" i="4"/>
  <c r="AY55" i="4"/>
  <c r="H62" i="4"/>
  <c r="AW55" i="4"/>
  <c r="AZ55" i="4"/>
  <c r="J59" i="4"/>
  <c r="M59" i="4"/>
  <c r="AT59" i="4"/>
  <c r="S25" i="4"/>
  <c r="Y25" i="4"/>
  <c r="AE25" i="4"/>
  <c r="AE70" i="4" s="1"/>
  <c r="AV56" i="4"/>
  <c r="AU56" i="4"/>
  <c r="AV58" i="4"/>
  <c r="AU58" i="4"/>
  <c r="AB61" i="4"/>
  <c r="AB62" i="4" s="1"/>
  <c r="V61" i="4"/>
  <c r="AZ67" i="4"/>
  <c r="AZ68" i="4" s="1"/>
  <c r="BA67" i="4"/>
  <c r="BA68" i="4" s="1"/>
  <c r="X68" i="4"/>
  <c r="H50" i="4"/>
  <c r="I46" i="4"/>
  <c r="AT46" i="4" s="1"/>
  <c r="AY48" i="4"/>
  <c r="AU48" i="4"/>
  <c r="AT48" i="4"/>
  <c r="AZ48" i="4"/>
  <c r="J60" i="4"/>
  <c r="AT60" i="4"/>
  <c r="I67" i="4"/>
  <c r="H68" i="4"/>
  <c r="P68" i="2" l="1"/>
  <c r="Q68" i="2"/>
  <c r="P24" i="2"/>
  <c r="L118" i="2"/>
  <c r="L129" i="2" s="1"/>
  <c r="H70" i="2"/>
  <c r="P69" i="2"/>
  <c r="N4" i="2"/>
  <c r="Q4" i="2" s="1"/>
  <c r="N117" i="2"/>
  <c r="AV10" i="4"/>
  <c r="AU10" i="4"/>
  <c r="O47" i="4"/>
  <c r="R47" i="4" s="1"/>
  <c r="U47" i="4" s="1"/>
  <c r="X47" i="4" s="1"/>
  <c r="BB56" i="4"/>
  <c r="AJ56" i="4"/>
  <c r="BB10" i="4"/>
  <c r="AJ10" i="4"/>
  <c r="AZ10" i="4"/>
  <c r="U6" i="4"/>
  <c r="X6" i="4" s="1"/>
  <c r="AA6" i="4" s="1"/>
  <c r="AD6" i="4" s="1"/>
  <c r="BA6" i="4" s="1"/>
  <c r="L60" i="4"/>
  <c r="AZ56" i="4"/>
  <c r="AY10" i="4"/>
  <c r="BA10" i="4"/>
  <c r="R57" i="4"/>
  <c r="U57" i="4" s="1"/>
  <c r="X57" i="4" s="1"/>
  <c r="O12" i="4"/>
  <c r="R12" i="4" s="1"/>
  <c r="AW12" i="4" s="1"/>
  <c r="BB58" i="4"/>
  <c r="AJ58" i="4"/>
  <c r="AV6" i="4"/>
  <c r="BB48" i="4"/>
  <c r="AJ48" i="4"/>
  <c r="AG68" i="4"/>
  <c r="AJ67" i="4"/>
  <c r="BC67" i="4" s="1"/>
  <c r="BC68" i="4" s="1"/>
  <c r="BB67" i="4"/>
  <c r="BB68" i="4" s="1"/>
  <c r="M62" i="4"/>
  <c r="M70" i="4" s="1"/>
  <c r="AT6" i="4"/>
  <c r="AU8" i="4"/>
  <c r="AX58" i="4"/>
  <c r="AV19" i="4"/>
  <c r="AV20" i="4" s="1"/>
  <c r="AU11" i="4"/>
  <c r="AT11" i="4"/>
  <c r="BA58" i="4"/>
  <c r="S35" i="4"/>
  <c r="R19" i="4"/>
  <c r="AW19" i="4" s="1"/>
  <c r="AW20" i="4" s="1"/>
  <c r="AX10" i="4"/>
  <c r="AT8" i="4"/>
  <c r="AZ58" i="4"/>
  <c r="Y35" i="4"/>
  <c r="Y70" i="4" s="1"/>
  <c r="AY58" i="4"/>
  <c r="AX57" i="4"/>
  <c r="AY56" i="4"/>
  <c r="AW7" i="4"/>
  <c r="AT12" i="4"/>
  <c r="AG6" i="4"/>
  <c r="BA56" i="4"/>
  <c r="AX56" i="4"/>
  <c r="AV7" i="4"/>
  <c r="AV12" i="4"/>
  <c r="R40" i="4"/>
  <c r="AW40" i="4" s="1"/>
  <c r="AW41" i="4" s="1"/>
  <c r="U8" i="4"/>
  <c r="AX8" i="4" s="1"/>
  <c r="R25" i="4"/>
  <c r="AV25" i="4"/>
  <c r="AT62" i="4"/>
  <c r="AV8" i="4"/>
  <c r="O41" i="4"/>
  <c r="AU7" i="4"/>
  <c r="V50" i="4"/>
  <c r="X49" i="4"/>
  <c r="O60" i="4"/>
  <c r="AU60" i="4"/>
  <c r="V62" i="4"/>
  <c r="X61" i="4"/>
  <c r="AB35" i="4"/>
  <c r="AB70" i="4" s="1"/>
  <c r="R9" i="4"/>
  <c r="AV9" i="4"/>
  <c r="X7" i="4"/>
  <c r="AX7" i="4"/>
  <c r="I68" i="4"/>
  <c r="AT67" i="4"/>
  <c r="AT68" i="4" s="1"/>
  <c r="L67" i="4"/>
  <c r="AU47" i="4"/>
  <c r="AX11" i="4"/>
  <c r="X11" i="4"/>
  <c r="I50" i="4"/>
  <c r="L46" i="4"/>
  <c r="AA47" i="4"/>
  <c r="AY47" i="4"/>
  <c r="AT47" i="4"/>
  <c r="AT50" i="4" s="1"/>
  <c r="R33" i="4"/>
  <c r="P35" i="4"/>
  <c r="P70" i="4" s="1"/>
  <c r="AG55" i="4"/>
  <c r="BA55" i="4"/>
  <c r="AU9" i="4"/>
  <c r="H70" i="4"/>
  <c r="L13" i="4"/>
  <c r="J14" i="4"/>
  <c r="J62" i="4"/>
  <c r="L59" i="4"/>
  <c r="AV47" i="4"/>
  <c r="V35" i="4"/>
  <c r="R41" i="4"/>
  <c r="U34" i="4"/>
  <c r="AT9" i="4"/>
  <c r="L5" i="4"/>
  <c r="I14" i="4"/>
  <c r="U4" i="4"/>
  <c r="Q70" i="2" l="1"/>
  <c r="P70" i="2"/>
  <c r="N118" i="2"/>
  <c r="P4" i="2"/>
  <c r="N137" i="2"/>
  <c r="AM48" i="4"/>
  <c r="BC48" i="4"/>
  <c r="AM56" i="4"/>
  <c r="BC56" i="4"/>
  <c r="S70" i="4"/>
  <c r="AW57" i="4"/>
  <c r="AM10" i="4"/>
  <c r="BC10" i="4"/>
  <c r="AM58" i="4"/>
  <c r="BC58" i="4"/>
  <c r="AY6" i="4"/>
  <c r="AZ6" i="4"/>
  <c r="AW47" i="4"/>
  <c r="U12" i="4"/>
  <c r="AX6" i="4"/>
  <c r="AA57" i="4"/>
  <c r="AY57" i="4"/>
  <c r="AJ55" i="4"/>
  <c r="BC55" i="4" s="1"/>
  <c r="BB6" i="4"/>
  <c r="AJ6" i="4"/>
  <c r="AX47" i="4"/>
  <c r="AJ68" i="4"/>
  <c r="AM67" i="4"/>
  <c r="BD67" i="4" s="1"/>
  <c r="BD68" i="4" s="1"/>
  <c r="V70" i="4"/>
  <c r="U19" i="4"/>
  <c r="AX19" i="4" s="1"/>
  <c r="AX20" i="4" s="1"/>
  <c r="R20" i="4"/>
  <c r="X8" i="4"/>
  <c r="AA8" i="4" s="1"/>
  <c r="U40" i="4"/>
  <c r="X40" i="4" s="1"/>
  <c r="AT14" i="4"/>
  <c r="AT70" i="4" s="1"/>
  <c r="AW25" i="4"/>
  <c r="U25" i="4"/>
  <c r="AX25" i="4" s="1"/>
  <c r="AA49" i="4"/>
  <c r="AY49" i="4"/>
  <c r="AD47" i="4"/>
  <c r="AZ47" i="4"/>
  <c r="R60" i="4"/>
  <c r="AV60" i="4"/>
  <c r="AX4" i="4"/>
  <c r="X4" i="4"/>
  <c r="X34" i="4"/>
  <c r="AX34" i="4"/>
  <c r="J70" i="4"/>
  <c r="R35" i="4"/>
  <c r="AW33" i="4"/>
  <c r="AW35" i="4" s="1"/>
  <c r="U33" i="4"/>
  <c r="L50" i="4"/>
  <c r="O46" i="4"/>
  <c r="AU46" i="4"/>
  <c r="AU50" i="4" s="1"/>
  <c r="AY61" i="4"/>
  <c r="AA61" i="4"/>
  <c r="X19" i="4"/>
  <c r="U20" i="4"/>
  <c r="AA7" i="4"/>
  <c r="AY7" i="4"/>
  <c r="I70" i="4"/>
  <c r="AU13" i="4"/>
  <c r="O13" i="4"/>
  <c r="BB55" i="4"/>
  <c r="O67" i="4"/>
  <c r="L68" i="4"/>
  <c r="AU67" i="4"/>
  <c r="AU68" i="4" s="1"/>
  <c r="U9" i="4"/>
  <c r="AW9" i="4"/>
  <c r="O5" i="4"/>
  <c r="L14" i="4"/>
  <c r="AU5" i="4"/>
  <c r="O59" i="4"/>
  <c r="L62" i="4"/>
  <c r="AU59" i="4"/>
  <c r="AU62" i="4" s="1"/>
  <c r="AA11" i="4"/>
  <c r="AY11" i="4"/>
  <c r="N129" i="2" l="1"/>
  <c r="Q118" i="2"/>
  <c r="P118" i="2"/>
  <c r="Q129" i="2" s="1"/>
  <c r="P129" i="2"/>
  <c r="AP10" i="4"/>
  <c r="BD10" i="4"/>
  <c r="AP58" i="4"/>
  <c r="BD58" i="4"/>
  <c r="AP56" i="4"/>
  <c r="BD56" i="4"/>
  <c r="AM6" i="4"/>
  <c r="BC6" i="4"/>
  <c r="AP48" i="4"/>
  <c r="BD48" i="4"/>
  <c r="AP67" i="4"/>
  <c r="BE67" i="4" s="1"/>
  <c r="BE68" i="4" s="1"/>
  <c r="AM68" i="4"/>
  <c r="AM55" i="4"/>
  <c r="BD55" i="4" s="1"/>
  <c r="AD57" i="4"/>
  <c r="AZ57" i="4"/>
  <c r="X12" i="4"/>
  <c r="AX12" i="4"/>
  <c r="AX40" i="4"/>
  <c r="AX41" i="4" s="1"/>
  <c r="AU14" i="4"/>
  <c r="AU70" i="4" s="1"/>
  <c r="U41" i="4"/>
  <c r="AY8" i="4"/>
  <c r="AZ49" i="4"/>
  <c r="AD49" i="4"/>
  <c r="X25" i="4"/>
  <c r="L70" i="4"/>
  <c r="R59" i="4"/>
  <c r="O62" i="4"/>
  <c r="AV59" i="4"/>
  <c r="AV62" i="4" s="1"/>
  <c r="R46" i="4"/>
  <c r="AV46" i="4"/>
  <c r="AV50" i="4" s="1"/>
  <c r="O50" i="4"/>
  <c r="AA34" i="4"/>
  <c r="AY34" i="4"/>
  <c r="AD11" i="4"/>
  <c r="AZ11" i="4"/>
  <c r="R13" i="4"/>
  <c r="AV13" i="4"/>
  <c r="AD7" i="4"/>
  <c r="AZ7" i="4"/>
  <c r="AY19" i="4"/>
  <c r="AY20" i="4" s="1"/>
  <c r="X20" i="4"/>
  <c r="AA19" i="4"/>
  <c r="AA4" i="4"/>
  <c r="AY4" i="4"/>
  <c r="U60" i="4"/>
  <c r="AW60" i="4"/>
  <c r="X41" i="4"/>
  <c r="AY40" i="4"/>
  <c r="AY41" i="4" s="1"/>
  <c r="AA40" i="4"/>
  <c r="AV5" i="4"/>
  <c r="R5" i="4"/>
  <c r="O14" i="4"/>
  <c r="O68" i="4"/>
  <c r="R67" i="4"/>
  <c r="AV67" i="4"/>
  <c r="AV68" i="4" s="1"/>
  <c r="X33" i="4"/>
  <c r="U35" i="4"/>
  <c r="AX33" i="4"/>
  <c r="AX35" i="4" s="1"/>
  <c r="X9" i="4"/>
  <c r="AX9" i="4"/>
  <c r="AD8" i="4"/>
  <c r="AZ8" i="4"/>
  <c r="AD61" i="4"/>
  <c r="AZ61" i="4"/>
  <c r="AG47" i="4"/>
  <c r="BA47" i="4"/>
  <c r="AP6" i="4" l="1"/>
  <c r="BD6" i="4"/>
  <c r="AS58" i="4"/>
  <c r="BF58" i="4" s="1"/>
  <c r="BE58" i="4"/>
  <c r="AS48" i="4"/>
  <c r="BF48" i="4" s="1"/>
  <c r="BE48" i="4"/>
  <c r="AS56" i="4"/>
  <c r="BF56" i="4" s="1"/>
  <c r="BE56" i="4"/>
  <c r="AS10" i="4"/>
  <c r="BF10" i="4" s="1"/>
  <c r="BE10" i="4"/>
  <c r="AG57" i="4"/>
  <c r="BA57" i="4"/>
  <c r="AS67" i="4"/>
  <c r="AP68" i="4"/>
  <c r="BB47" i="4"/>
  <c r="AJ47" i="4"/>
  <c r="AY12" i="4"/>
  <c r="AA12" i="4"/>
  <c r="AP55" i="4"/>
  <c r="BE55" i="4" s="1"/>
  <c r="AA25" i="4"/>
  <c r="AZ25" i="4" s="1"/>
  <c r="AY25" i="4"/>
  <c r="AG49" i="4"/>
  <c r="BA49" i="4"/>
  <c r="AV14" i="4"/>
  <c r="AV70" i="4" s="1"/>
  <c r="R68" i="4"/>
  <c r="AW67" i="4"/>
  <c r="AW68" i="4" s="1"/>
  <c r="BA8" i="4"/>
  <c r="AG8" i="4"/>
  <c r="U5" i="4"/>
  <c r="AW5" i="4"/>
  <c r="R14" i="4"/>
  <c r="AD4" i="4"/>
  <c r="AZ4" i="4"/>
  <c r="AA20" i="4"/>
  <c r="AD19" i="4"/>
  <c r="AZ19" i="4"/>
  <c r="AZ20" i="4" s="1"/>
  <c r="BA7" i="4"/>
  <c r="AG7" i="4"/>
  <c r="BA11" i="4"/>
  <c r="AG11" i="4"/>
  <c r="U46" i="4"/>
  <c r="R50" i="4"/>
  <c r="AW46" i="4"/>
  <c r="AW50" i="4" s="1"/>
  <c r="AG61" i="4"/>
  <c r="BA61" i="4"/>
  <c r="AD40" i="4"/>
  <c r="AA41" i="4"/>
  <c r="AZ40" i="4"/>
  <c r="AZ41" i="4" s="1"/>
  <c r="X60" i="4"/>
  <c r="AX60" i="4"/>
  <c r="U13" i="4"/>
  <c r="AW13" i="4"/>
  <c r="AD34" i="4"/>
  <c r="AZ34" i="4"/>
  <c r="AA9" i="4"/>
  <c r="AY9" i="4"/>
  <c r="X35" i="4"/>
  <c r="AY33" i="4"/>
  <c r="AY35" i="4" s="1"/>
  <c r="AA33" i="4"/>
  <c r="O70" i="4"/>
  <c r="U59" i="4"/>
  <c r="R62" i="4"/>
  <c r="AW59" i="4"/>
  <c r="AW62" i="4" s="1"/>
  <c r="AM47" i="4" l="1"/>
  <c r="BC47" i="4"/>
  <c r="AD25" i="4"/>
  <c r="AS68" i="4"/>
  <c r="BF67" i="4"/>
  <c r="BF68" i="4" s="1"/>
  <c r="BE6" i="4"/>
  <c r="AS6" i="4"/>
  <c r="BF6" i="4" s="1"/>
  <c r="BB61" i="4"/>
  <c r="AJ61" i="4"/>
  <c r="BB11" i="4"/>
  <c r="AJ11" i="4"/>
  <c r="BB8" i="4"/>
  <c r="AJ8" i="4"/>
  <c r="BB7" i="4"/>
  <c r="AJ7" i="4"/>
  <c r="BB49" i="4"/>
  <c r="AJ49" i="4"/>
  <c r="AS55" i="4"/>
  <c r="BF55" i="4" s="1"/>
  <c r="AD12" i="4"/>
  <c r="AZ12" i="4"/>
  <c r="BB57" i="4"/>
  <c r="AJ57" i="4"/>
  <c r="BC57" i="4" s="1"/>
  <c r="AG4" i="4"/>
  <c r="BA4" i="4"/>
  <c r="X13" i="4"/>
  <c r="AX13" i="4"/>
  <c r="AG19" i="4"/>
  <c r="AD20" i="4"/>
  <c r="BA19" i="4"/>
  <c r="BA20" i="4" s="1"/>
  <c r="AG25" i="4"/>
  <c r="BA25" i="4"/>
  <c r="X59" i="4"/>
  <c r="U62" i="4"/>
  <c r="AX59" i="4"/>
  <c r="AX62" i="4" s="1"/>
  <c r="AA35" i="4"/>
  <c r="AD33" i="4"/>
  <c r="AZ33" i="4"/>
  <c r="AZ35" i="4" s="1"/>
  <c r="AD9" i="4"/>
  <c r="AZ9" i="4"/>
  <c r="AD41" i="4"/>
  <c r="AG40" i="4"/>
  <c r="BA40" i="4"/>
  <c r="BA41" i="4" s="1"/>
  <c r="R70" i="4"/>
  <c r="X5" i="4"/>
  <c r="AX5" i="4"/>
  <c r="AX14" i="4" s="1"/>
  <c r="U14" i="4"/>
  <c r="AG34" i="4"/>
  <c r="BA34" i="4"/>
  <c r="AA60" i="4"/>
  <c r="AY60" i="4"/>
  <c r="X46" i="4"/>
  <c r="U50" i="4"/>
  <c r="AX46" i="4"/>
  <c r="AX50" i="4" s="1"/>
  <c r="AW14" i="4"/>
  <c r="AW70" i="4" s="1"/>
  <c r="AP47" i="4" l="1"/>
  <c r="BD47" i="4"/>
  <c r="AM7" i="4"/>
  <c r="BC7" i="4"/>
  <c r="AM11" i="4"/>
  <c r="BC11" i="4"/>
  <c r="AM8" i="4"/>
  <c r="BC8" i="4"/>
  <c r="AM61" i="4"/>
  <c r="BC61" i="4"/>
  <c r="AM49" i="4"/>
  <c r="BC49" i="4"/>
  <c r="AJ40" i="4"/>
  <c r="BC40" i="4" s="1"/>
  <c r="BC41" i="4" s="1"/>
  <c r="AG12" i="4"/>
  <c r="BA12" i="4"/>
  <c r="BB34" i="4"/>
  <c r="AJ34" i="4"/>
  <c r="AM57" i="4"/>
  <c r="BD57" i="4" s="1"/>
  <c r="AJ25" i="4"/>
  <c r="BC25" i="4" s="1"/>
  <c r="AJ19" i="4"/>
  <c r="BC19" i="4" s="1"/>
  <c r="BC20" i="4" s="1"/>
  <c r="AJ4" i="4"/>
  <c r="BC4" i="4" s="1"/>
  <c r="BB4" i="4"/>
  <c r="U70" i="4"/>
  <c r="AA5" i="4"/>
  <c r="AY5" i="4"/>
  <c r="X14" i="4"/>
  <c r="AD35" i="4"/>
  <c r="AG33" i="4"/>
  <c r="BA33" i="4"/>
  <c r="BA35" i="4" s="1"/>
  <c r="AA59" i="4"/>
  <c r="AY59" i="4"/>
  <c r="AY62" i="4" s="1"/>
  <c r="X62" i="4"/>
  <c r="AA13" i="4"/>
  <c r="AY13" i="4"/>
  <c r="X50" i="4"/>
  <c r="AA46" i="4"/>
  <c r="AY46" i="4"/>
  <c r="AY50" i="4" s="1"/>
  <c r="AG9" i="4"/>
  <c r="BA9" i="4"/>
  <c r="BB25" i="4"/>
  <c r="BB19" i="4"/>
  <c r="BB20" i="4" s="1"/>
  <c r="AG20" i="4"/>
  <c r="AD60" i="4"/>
  <c r="AZ60" i="4"/>
  <c r="AX70" i="4"/>
  <c r="AG41" i="4"/>
  <c r="BB40" i="4"/>
  <c r="BB41" i="4" s="1"/>
  <c r="AP7" i="4" l="1"/>
  <c r="BD7" i="4"/>
  <c r="AP61" i="4"/>
  <c r="BD61" i="4"/>
  <c r="AP11" i="4"/>
  <c r="BD11" i="4"/>
  <c r="AP8" i="4"/>
  <c r="BD8" i="4"/>
  <c r="AS47" i="4"/>
  <c r="BF47" i="4" s="1"/>
  <c r="BE47" i="4"/>
  <c r="AM34" i="4"/>
  <c r="BC34" i="4"/>
  <c r="AP49" i="4"/>
  <c r="BD49" i="4"/>
  <c r="BB9" i="4"/>
  <c r="AJ9" i="4"/>
  <c r="AM19" i="4"/>
  <c r="BD19" i="4" s="1"/>
  <c r="BD20" i="4" s="1"/>
  <c r="AJ20" i="4"/>
  <c r="BB12" i="4"/>
  <c r="AJ12" i="4"/>
  <c r="AJ33" i="4"/>
  <c r="BC33" i="4" s="1"/>
  <c r="BC35" i="4" s="1"/>
  <c r="AM4" i="4"/>
  <c r="BD4" i="4" s="1"/>
  <c r="AM25" i="4"/>
  <c r="BD25" i="4" s="1"/>
  <c r="AP57" i="4"/>
  <c r="BE57" i="4" s="1"/>
  <c r="AJ41" i="4"/>
  <c r="AM40" i="4"/>
  <c r="BD40" i="4" s="1"/>
  <c r="BD41" i="4" s="1"/>
  <c r="AD59" i="4"/>
  <c r="AA62" i="4"/>
  <c r="AZ59" i="4"/>
  <c r="AZ62" i="4" s="1"/>
  <c r="X70" i="4"/>
  <c r="AG60" i="4"/>
  <c r="BA60" i="4"/>
  <c r="AD13" i="4"/>
  <c r="AZ13" i="4"/>
  <c r="AY14" i="4"/>
  <c r="AY70" i="4" s="1"/>
  <c r="AA50" i="4"/>
  <c r="AD46" i="4"/>
  <c r="AZ46" i="4"/>
  <c r="AZ50" i="4" s="1"/>
  <c r="AG35" i="4"/>
  <c r="BB33" i="4"/>
  <c r="BB35" i="4" s="1"/>
  <c r="AD5" i="4"/>
  <c r="AZ5" i="4"/>
  <c r="AZ14" i="4" s="1"/>
  <c r="AA14" i="4"/>
  <c r="BE7" i="4" l="1"/>
  <c r="AS7" i="4"/>
  <c r="BF7" i="4" s="1"/>
  <c r="AS8" i="4"/>
  <c r="BF8" i="4" s="1"/>
  <c r="BE8" i="4"/>
  <c r="AM12" i="4"/>
  <c r="BC12" i="4"/>
  <c r="AM9" i="4"/>
  <c r="BC9" i="4"/>
  <c r="AP34" i="4"/>
  <c r="BD34" i="4"/>
  <c r="AS61" i="4"/>
  <c r="BF61" i="4" s="1"/>
  <c r="BE61" i="4"/>
  <c r="AS11" i="4"/>
  <c r="BF11" i="4" s="1"/>
  <c r="BE11" i="4"/>
  <c r="AS49" i="4"/>
  <c r="BF49" i="4" s="1"/>
  <c r="BE49" i="4"/>
  <c r="AS57" i="4"/>
  <c r="BF57" i="4" s="1"/>
  <c r="AP19" i="4"/>
  <c r="BE19" i="4" s="1"/>
  <c r="BE20" i="4" s="1"/>
  <c r="AM20" i="4"/>
  <c r="AP40" i="4"/>
  <c r="BE40" i="4" s="1"/>
  <c r="BE41" i="4" s="1"/>
  <c r="AM41" i="4"/>
  <c r="AP25" i="4"/>
  <c r="BE25" i="4" s="1"/>
  <c r="BB60" i="4"/>
  <c r="AJ60" i="4"/>
  <c r="AM33" i="4"/>
  <c r="BD33" i="4" s="1"/>
  <c r="BD35" i="4" s="1"/>
  <c r="AJ35" i="4"/>
  <c r="AZ70" i="4"/>
  <c r="AP4" i="4"/>
  <c r="AG5" i="4"/>
  <c r="BA5" i="4"/>
  <c r="AD14" i="4"/>
  <c r="AG46" i="4"/>
  <c r="AD50" i="4"/>
  <c r="BA46" i="4"/>
  <c r="BA50" i="4" s="1"/>
  <c r="AG13" i="4"/>
  <c r="BA13" i="4"/>
  <c r="AA70" i="4"/>
  <c r="AG59" i="4"/>
  <c r="BA59" i="4"/>
  <c r="BA62" i="4" s="1"/>
  <c r="AD62" i="4"/>
  <c r="AP9" i="4" l="1"/>
  <c r="BD9" i="4"/>
  <c r="AM60" i="4"/>
  <c r="BC60" i="4"/>
  <c r="AS34" i="4"/>
  <c r="BF34" i="4" s="1"/>
  <c r="BE34" i="4"/>
  <c r="AP12" i="4"/>
  <c r="BD12" i="4"/>
  <c r="AS4" i="4"/>
  <c r="BE4" i="4"/>
  <c r="AP41" i="4"/>
  <c r="AS40" i="4"/>
  <c r="AJ59" i="4"/>
  <c r="BC59" i="4" s="1"/>
  <c r="BC62" i="4" s="1"/>
  <c r="AS25" i="4"/>
  <c r="AJ46" i="4"/>
  <c r="BC46" i="4" s="1"/>
  <c r="BC50" i="4" s="1"/>
  <c r="AM35" i="4"/>
  <c r="AP33" i="4"/>
  <c r="BE33" i="4" s="1"/>
  <c r="BE35" i="4" s="1"/>
  <c r="BB13" i="4"/>
  <c r="AJ13" i="4"/>
  <c r="AJ5" i="4"/>
  <c r="BC5" i="4" s="1"/>
  <c r="AP20" i="4"/>
  <c r="AS19" i="4"/>
  <c r="AG50" i="4"/>
  <c r="BB46" i="4"/>
  <c r="BB50" i="4" s="1"/>
  <c r="BA14" i="4"/>
  <c r="BA70" i="4" s="1"/>
  <c r="AD70" i="4"/>
  <c r="BB59" i="4"/>
  <c r="BB62" i="4" s="1"/>
  <c r="AG62" i="4"/>
  <c r="BB5" i="4"/>
  <c r="BB14" i="4" s="1"/>
  <c r="BB70" i="4" s="1"/>
  <c r="AG14" i="4"/>
  <c r="AS12" i="4" l="1"/>
  <c r="BF12" i="4" s="1"/>
  <c r="BE12" i="4"/>
  <c r="AS9" i="4"/>
  <c r="BF9" i="4" s="1"/>
  <c r="BE9" i="4"/>
  <c r="AS41" i="4"/>
  <c r="BF40" i="4"/>
  <c r="BF41" i="4" s="1"/>
  <c r="AM13" i="4"/>
  <c r="BC13" i="4"/>
  <c r="BC14" i="4" s="1"/>
  <c r="BC70" i="4" s="1"/>
  <c r="AP60" i="4"/>
  <c r="BD60" i="4"/>
  <c r="AS20" i="4"/>
  <c r="BF19" i="4"/>
  <c r="BF20" i="4" s="1"/>
  <c r="BF25" i="4"/>
  <c r="AM5" i="4"/>
  <c r="BD5" i="4" s="1"/>
  <c r="AJ14" i="4"/>
  <c r="AM46" i="4"/>
  <c r="BD46" i="4" s="1"/>
  <c r="BD50" i="4" s="1"/>
  <c r="AJ50" i="4"/>
  <c r="AJ70" i="4" s="1"/>
  <c r="AM59" i="4"/>
  <c r="BD59" i="4" s="1"/>
  <c r="BD62" i="4" s="1"/>
  <c r="AJ62" i="4"/>
  <c r="BF4" i="4"/>
  <c r="AG70" i="4"/>
  <c r="AP35" i="4"/>
  <c r="AS33" i="4"/>
  <c r="AP13" i="4" l="1"/>
  <c r="BD13" i="4"/>
  <c r="BD14" i="4" s="1"/>
  <c r="BD70" i="4" s="1"/>
  <c r="AS35" i="4"/>
  <c r="BF33" i="4"/>
  <c r="BF35" i="4" s="1"/>
  <c r="AS60" i="4"/>
  <c r="BF60" i="4" s="1"/>
  <c r="BE60" i="4"/>
  <c r="AP5" i="4"/>
  <c r="AM14" i="4"/>
  <c r="AP46" i="4"/>
  <c r="BE46" i="4" s="1"/>
  <c r="BE50" i="4" s="1"/>
  <c r="AM50" i="4"/>
  <c r="AP59" i="4"/>
  <c r="BE59" i="4" s="1"/>
  <c r="AM62" i="4"/>
  <c r="BE62" i="4" l="1"/>
  <c r="BE13" i="4"/>
  <c r="AS13" i="4"/>
  <c r="BF13" i="4" s="1"/>
  <c r="AM70" i="4"/>
  <c r="AP50" i="4"/>
  <c r="AS46" i="4"/>
  <c r="AS5" i="4"/>
  <c r="BE5" i="4"/>
  <c r="BE14" i="4" s="1"/>
  <c r="BE70" i="4" s="1"/>
  <c r="AP14" i="4"/>
  <c r="AS59" i="4"/>
  <c r="AP62" i="4"/>
  <c r="E10" i="3"/>
  <c r="K72" i="2" s="1"/>
  <c r="L72" i="2" s="1"/>
  <c r="N72" i="2" s="1"/>
  <c r="E9" i="3"/>
  <c r="K71" i="2" s="1"/>
  <c r="L71" i="2" s="1"/>
  <c r="N71" i="2" s="1"/>
  <c r="D15" i="3"/>
  <c r="K76" i="2" s="1"/>
  <c r="L76" i="2" s="1"/>
  <c r="N76" i="2" s="1"/>
  <c r="D14" i="3"/>
  <c r="K75" i="2" s="1"/>
  <c r="L75" i="2" s="1"/>
  <c r="N75" i="2" s="1"/>
  <c r="D13" i="3"/>
  <c r="K74" i="2" s="1"/>
  <c r="L74" i="2" s="1"/>
  <c r="N74" i="2" s="1"/>
  <c r="D12" i="3"/>
  <c r="K73" i="2" s="1"/>
  <c r="L73" i="2" s="1"/>
  <c r="N73" i="2" s="1"/>
  <c r="D8" i="3"/>
  <c r="K70" i="2" s="1"/>
  <c r="L70" i="2" s="1"/>
  <c r="N70" i="2" s="1"/>
  <c r="D7" i="3"/>
  <c r="K69" i="2" s="1"/>
  <c r="L69" i="2" s="1"/>
  <c r="N69" i="2" s="1"/>
  <c r="D6" i="3"/>
  <c r="K68" i="2" s="1"/>
  <c r="L68" i="2" s="1"/>
  <c r="N68" i="2" s="1"/>
  <c r="D5" i="3"/>
  <c r="K67" i="2" s="1"/>
  <c r="L67" i="2" s="1"/>
  <c r="N67" i="2" s="1"/>
  <c r="D4" i="3"/>
  <c r="K66" i="2" s="1"/>
  <c r="V108" i="1"/>
  <c r="S108" i="1"/>
  <c r="P108" i="1"/>
  <c r="M108" i="1"/>
  <c r="J108" i="1"/>
  <c r="G108" i="1"/>
  <c r="G109" i="1" s="1"/>
  <c r="M107" i="1"/>
  <c r="J107" i="1"/>
  <c r="P107" i="1"/>
  <c r="V107" i="1"/>
  <c r="S107" i="1"/>
  <c r="V103" i="1"/>
  <c r="V105" i="1" s="1"/>
  <c r="S103" i="1"/>
  <c r="S105" i="1" s="1"/>
  <c r="P103" i="1"/>
  <c r="P105" i="1" s="1"/>
  <c r="M103" i="1"/>
  <c r="M105" i="1" s="1"/>
  <c r="J103" i="1"/>
  <c r="J105" i="1" s="1"/>
  <c r="G103" i="1"/>
  <c r="G105" i="1" s="1"/>
  <c r="K93" i="2" l="1"/>
  <c r="K133" i="2" s="1"/>
  <c r="K139" i="2" s="1"/>
  <c r="AS62" i="4"/>
  <c r="BF59" i="4"/>
  <c r="BF62" i="4" s="1"/>
  <c r="AS50" i="4"/>
  <c r="BF46" i="4"/>
  <c r="BF50" i="4" s="1"/>
  <c r="L66" i="2"/>
  <c r="BF5" i="4"/>
  <c r="BF14" i="4" s="1"/>
  <c r="AS14" i="4"/>
  <c r="AS70" i="4" s="1"/>
  <c r="AP70" i="4"/>
  <c r="V109" i="1"/>
  <c r="M109" i="1"/>
  <c r="J109" i="1"/>
  <c r="S109" i="1"/>
  <c r="P109" i="1"/>
  <c r="L93" i="2" l="1"/>
  <c r="L133" i="2" s="1"/>
  <c r="L139" i="2" s="1"/>
  <c r="L154" i="2" s="1"/>
  <c r="BF70" i="4"/>
  <c r="K152" i="2"/>
  <c r="L147" i="2" s="1"/>
  <c r="K154" i="2"/>
  <c r="N93" i="2" l="1"/>
  <c r="L152" i="2"/>
  <c r="N147" i="2" s="1"/>
  <c r="N133" i="2" l="1"/>
  <c r="N139" i="2" s="1"/>
  <c r="P93" i="2"/>
  <c r="P133" i="2" s="1"/>
  <c r="P139" i="2" s="1"/>
  <c r="P154" i="2" l="1"/>
  <c r="P152" i="2"/>
  <c r="N154" i="2"/>
  <c r="N152" i="2"/>
  <c r="Q93" i="2" l="1"/>
  <c r="Q133" i="2" s="1"/>
  <c r="Q139" i="2" s="1"/>
  <c r="Q152" i="2" l="1"/>
  <c r="Q154" i="2"/>
</calcChain>
</file>

<file path=xl/sharedStrings.xml><?xml version="1.0" encoding="utf-8"?>
<sst xmlns="http://schemas.openxmlformats.org/spreadsheetml/2006/main" count="2395" uniqueCount="257">
  <si>
    <t>Aankopen van handelsgoederen</t>
  </si>
  <si>
    <t>Huur en huurlasten</t>
  </si>
  <si>
    <t>Onderhoud website</t>
  </si>
  <si>
    <t>Drukwerk Marnixkrant</t>
  </si>
  <si>
    <t>Kantoorbenodigdheden</t>
  </si>
  <si>
    <t>Vakliteratuur, abonnementen, etc.</t>
  </si>
  <si>
    <t>Aankoop hard- en software, licenties, etc.</t>
  </si>
  <si>
    <t>Cursussen en opleiding</t>
  </si>
  <si>
    <t>Erelonen</t>
  </si>
  <si>
    <t>Erelonen sociaal secretariaat</t>
  </si>
  <si>
    <t>Wettelijke bekendmakingen</t>
  </si>
  <si>
    <t>Telefoon, gsm en internet</t>
  </si>
  <si>
    <t>Postkosten</t>
  </si>
  <si>
    <t>Publiciteit en aankondigingen</t>
  </si>
  <si>
    <t>Restaurant, broodjes, etc.</t>
  </si>
  <si>
    <t>Kosten regiocoördinatoren</t>
  </si>
  <si>
    <t>Steunbijdragen</t>
  </si>
  <si>
    <t>Erepenningen</t>
  </si>
  <si>
    <t>Ringprojecten</t>
  </si>
  <si>
    <t>Kosten Taalkoffer</t>
  </si>
  <si>
    <t>Kosten Huize Robrecht</t>
  </si>
  <si>
    <t>Burgelijke aansprakelijkheid algemeen</t>
  </si>
  <si>
    <t>Burgelijke aansprakelijkheid bestuurders</t>
  </si>
  <si>
    <t>Kilometervergoeding</t>
  </si>
  <si>
    <t>Vergaderingskosten AV</t>
  </si>
  <si>
    <t>Vergaderingskosten RVB</t>
  </si>
  <si>
    <t>Halfjaarlijkse vergoedingen</t>
  </si>
  <si>
    <t>Bedienden</t>
  </si>
  <si>
    <t>Bedienden vakantiegeld</t>
  </si>
  <si>
    <t>Bedienden - diversen netto</t>
  </si>
  <si>
    <t>Bedienden - verplaatsing</t>
  </si>
  <si>
    <t>Werkgeversbijdrage RSZ</t>
  </si>
  <si>
    <t>Arbeidsongevallenverzekering</t>
  </si>
  <si>
    <t>Externe preventie</t>
  </si>
  <si>
    <t>Groepsverzekering bedienden</t>
  </si>
  <si>
    <t>Provisie vakantiegeld (+)</t>
  </si>
  <si>
    <t>Provisie vakantiegeld (-)</t>
  </si>
  <si>
    <t>Provisie eindejaarspremie (-)</t>
  </si>
  <si>
    <t>Afschrijvingen op materiële vaste activa</t>
  </si>
  <si>
    <t>Toevoegingen</t>
  </si>
  <si>
    <t>Bankkosten</t>
  </si>
  <si>
    <t>Lidmaatschappen</t>
  </si>
  <si>
    <t>Spelden</t>
  </si>
  <si>
    <t>Naamplaten</t>
  </si>
  <si>
    <t>Strop-, vlinderdassen en sjaals</t>
  </si>
  <si>
    <t>Postzegels</t>
  </si>
  <si>
    <t>Oprolsysteem</t>
  </si>
  <si>
    <t>Recuperatie bedrijfsvoorheffing bedienden</t>
  </si>
  <si>
    <t>Goederen</t>
  </si>
  <si>
    <t>Uitleendienst</t>
  </si>
  <si>
    <t>Onderhoud kantoorinrichting en -materieel</t>
  </si>
  <si>
    <t>Drukwerk ledenboekje</t>
  </si>
  <si>
    <t>Administratiekosten</t>
  </si>
  <si>
    <t>Relatiegeschenken, boeketten, overlijdens, etc.</t>
  </si>
  <si>
    <t>Brandverzekering</t>
  </si>
  <si>
    <t>Vergaderingskosten Kaderdag</t>
  </si>
  <si>
    <t>Nadelige betalingsverschillen</t>
  </si>
  <si>
    <t>Overboeking op de bestemde fondsen</t>
  </si>
  <si>
    <t>Vlaggen</t>
  </si>
  <si>
    <t>Tafelwimpels</t>
  </si>
  <si>
    <t>Ledenboekje</t>
  </si>
  <si>
    <t>Omslagen</t>
  </si>
  <si>
    <t>Inpakpapier blauw Marnixring</t>
  </si>
  <si>
    <t>Inpakdoos wijnlfes, Marnixbier</t>
  </si>
  <si>
    <t>Ontvangen huurinkomsten</t>
  </si>
  <si>
    <t>Voordelige betalingsverschillen</t>
  </si>
  <si>
    <t>Verbruiksgoederen</t>
  </si>
  <si>
    <t>Onderhoud terreinen en gebouwen</t>
  </si>
  <si>
    <t>Nutsvoorzieningen</t>
  </si>
  <si>
    <t>Cursussen en studiedagen</t>
  </si>
  <si>
    <t>Onthaal en representatiekosten binnenland</t>
  </si>
  <si>
    <t>Projecten MRIS</t>
  </si>
  <si>
    <t>Vergaderingskosten WG</t>
  </si>
  <si>
    <t>Diverse onkosten en teruggaves</t>
  </si>
  <si>
    <t>Parking- en tolkosten</t>
  </si>
  <si>
    <t>Terugneming (-)</t>
  </si>
  <si>
    <t>Toevoeging</t>
  </si>
  <si>
    <t>Verkopen fabrikaten</t>
  </si>
  <si>
    <t>Boeken</t>
  </si>
  <si>
    <t>Briefpapier</t>
  </si>
  <si>
    <t>Vlaggenset</t>
  </si>
  <si>
    <t>Pharmaceutische producten</t>
  </si>
  <si>
    <t>Toevoeging (+)</t>
  </si>
  <si>
    <t>Besteding en terugneming ID/Akademia (-)</t>
  </si>
  <si>
    <t>Besteding en terugneming Lustrum 50 jaar MR (-)</t>
  </si>
  <si>
    <t>Overige uitzonderlijke kosten</t>
  </si>
  <si>
    <t>Roerende voorheffing op bankintresten</t>
  </si>
  <si>
    <t>Ontvangsten 50 jaar Marnixring</t>
  </si>
  <si>
    <t>Doorgefactureerde kosten Komen</t>
  </si>
  <si>
    <t>Creditbankintresten</t>
  </si>
  <si>
    <t>Richard Celis lezingen</t>
  </si>
  <si>
    <t>Woon-werk vergoeding</t>
  </si>
  <si>
    <t>Toevoeging - ID/Akademia</t>
  </si>
  <si>
    <t>Toevoeging - Lustrum 50 jaar Marnixring</t>
  </si>
  <si>
    <t>Op materiële vaste activa</t>
  </si>
  <si>
    <t>Overige uitzonderlijke opbrengsten</t>
  </si>
  <si>
    <t>Onttrekking aan de fondsen van de vereniging</t>
  </si>
  <si>
    <t>TOTAAL 7-REKENINGEN</t>
  </si>
  <si>
    <t>HERINGAVE TER CONTROLE</t>
  </si>
  <si>
    <t>CONTROLE</t>
  </si>
  <si>
    <t>HERINGAVE 6 TER CONTROLE</t>
  </si>
  <si>
    <t>HERINGAVE 7 TER CONTROLE</t>
  </si>
  <si>
    <t>SOMMATIE EXCEL</t>
  </si>
  <si>
    <t>Index</t>
  </si>
  <si>
    <t>LOON</t>
  </si>
  <si>
    <t>Jaar</t>
  </si>
  <si>
    <t>Omschrijving</t>
  </si>
  <si>
    <t>L/D</t>
  </si>
  <si>
    <t>%</t>
  </si>
  <si>
    <t>AW</t>
  </si>
  <si>
    <t>(+)</t>
  </si>
  <si>
    <t>(-)</t>
  </si>
  <si>
    <t>Afschrij-</t>
  </si>
  <si>
    <t>Rest-</t>
  </si>
  <si>
    <t>Begin</t>
  </si>
  <si>
    <t>Einde</t>
  </si>
  <si>
    <t>ving</t>
  </si>
  <si>
    <t>waarde</t>
  </si>
  <si>
    <t>2005/01</t>
  </si>
  <si>
    <t>Website fase 1</t>
  </si>
  <si>
    <t>D</t>
  </si>
  <si>
    <t>2005/02</t>
  </si>
  <si>
    <t>Website fase 2</t>
  </si>
  <si>
    <t>2006/01</t>
  </si>
  <si>
    <t>Website fase 3</t>
  </si>
  <si>
    <t>Website fase 4</t>
  </si>
  <si>
    <t>2007/01</t>
  </si>
  <si>
    <t>Website fase 5</t>
  </si>
  <si>
    <t>2007/02</t>
  </si>
  <si>
    <t>Website fase 6</t>
  </si>
  <si>
    <t>2008/01</t>
  </si>
  <si>
    <t>Website fase 7</t>
  </si>
  <si>
    <t>2008/02</t>
  </si>
  <si>
    <t>Website fase 8</t>
  </si>
  <si>
    <t>2009/01</t>
  </si>
  <si>
    <t>Webwinkel</t>
  </si>
  <si>
    <t>2012/01</t>
  </si>
  <si>
    <t>Nieuwe website</t>
  </si>
  <si>
    <t>Totaal ontwikkeling website</t>
  </si>
  <si>
    <t>2013/01</t>
  </si>
  <si>
    <t>Komen</t>
  </si>
  <si>
    <t>-</t>
  </si>
  <si>
    <t>Totaal terrein</t>
  </si>
  <si>
    <t>Totaal constructie</t>
  </si>
  <si>
    <t>2016/122</t>
  </si>
  <si>
    <t>Keldertrap en leuning</t>
  </si>
  <si>
    <t>L</t>
  </si>
  <si>
    <t>2016/157</t>
  </si>
  <si>
    <t>Vernieuwen trap</t>
  </si>
  <si>
    <t>Veranderingswerken</t>
  </si>
  <si>
    <t>2003/01</t>
  </si>
  <si>
    <t>Airconditionering</t>
  </si>
  <si>
    <t>Totaal Uitrusting</t>
  </si>
  <si>
    <t>2001/01</t>
  </si>
  <si>
    <t>Kantooruitrusting secretariaat</t>
  </si>
  <si>
    <t>Bureel- en vergaderstoelen</t>
  </si>
  <si>
    <t>Meubilair Huize Robbrecht</t>
  </si>
  <si>
    <t>Spreekgestoelte</t>
  </si>
  <si>
    <t>Totaal Meubilair</t>
  </si>
  <si>
    <t>Brother HL1660</t>
  </si>
  <si>
    <t>2003/03</t>
  </si>
  <si>
    <t>Fotocopiermachine IF 2200</t>
  </si>
  <si>
    <t>Sony notebook &amp; toebehoren</t>
  </si>
  <si>
    <t>2011/01</t>
  </si>
  <si>
    <t>Laserjet</t>
  </si>
  <si>
    <t>PC</t>
  </si>
  <si>
    <t>2018/10</t>
  </si>
  <si>
    <t>Laptop</t>
  </si>
  <si>
    <t>Totaal kantooruitrusting en hardware</t>
  </si>
  <si>
    <t>Gedenkplaat G Feremans</t>
  </si>
  <si>
    <t>Totaal overige materiële vaste activa</t>
  </si>
  <si>
    <t>Algemeen totaal</t>
  </si>
  <si>
    <t>D&amp;A</t>
  </si>
  <si>
    <t>AVG 1</t>
  </si>
  <si>
    <t>TOTAAL</t>
  </si>
  <si>
    <t>TOTAAL 1</t>
  </si>
  <si>
    <t>TOTAAL 2</t>
  </si>
  <si>
    <t>AVG 2</t>
  </si>
  <si>
    <t>HISTORIEK</t>
  </si>
  <si>
    <t>Basis</t>
  </si>
  <si>
    <t># maanden</t>
  </si>
  <si>
    <t>OVERIGE</t>
  </si>
  <si>
    <t>= naar blad "BUDGET"</t>
  </si>
  <si>
    <t>TOTAAL 6-REKENINGEN</t>
  </si>
  <si>
    <t>BRON</t>
  </si>
  <si>
    <t>Effectieve facturatie</t>
  </si>
  <si>
    <t>RESULTAAT</t>
  </si>
  <si>
    <t>+ AFSCHRIJVINGEN</t>
  </si>
  <si>
    <t>OPERATIONELE CASH-FLOW</t>
  </si>
  <si>
    <t>Peeple</t>
  </si>
  <si>
    <t>Mvh</t>
  </si>
  <si>
    <t>BTW</t>
  </si>
  <si>
    <t>Licentie</t>
  </si>
  <si>
    <t>CUMUL</t>
  </si>
  <si>
    <t>AFSCHRIJVING</t>
  </si>
  <si>
    <t>Afschrijvingen op immateriële vaste activa</t>
  </si>
  <si>
    <t>INVESTERINGEN</t>
  </si>
  <si>
    <t>CASH-FLOW NA INVESTERINGEN</t>
  </si>
  <si>
    <t>NIETS VOORZIEN</t>
  </si>
  <si>
    <t>HISTORIEK - HOOGSTE</t>
  </si>
  <si>
    <t>Peeple  - Licentie 299,00 €/mnd + BTW</t>
  </si>
  <si>
    <t>Peeple  - Fazering 7,44 €/lid + BTW (200/400/1300)</t>
  </si>
  <si>
    <t>KBC BE52 7370 1033 6809</t>
  </si>
  <si>
    <t>KBC BE21 7470 1100 7103</t>
  </si>
  <si>
    <t>ARGENTA BE96 9731 3214 0205</t>
  </si>
  <si>
    <t>KBC BE20 7470 1685 1856</t>
  </si>
  <si>
    <t>Totaal liquide middelen bij start boekjaar</t>
  </si>
  <si>
    <t>CASH-FLOW VAN HET JAAR</t>
  </si>
  <si>
    <t>NIEUW</t>
  </si>
  <si>
    <t>Aanwezige liquide middelen</t>
  </si>
  <si>
    <t>Uittreksel 31/12/2021</t>
  </si>
  <si>
    <t>Investeringen</t>
  </si>
  <si>
    <t>Erelonen bijkomende werkzaamheden</t>
  </si>
  <si>
    <t>OP AANGEVEN MR</t>
  </si>
  <si>
    <t>Actuals</t>
  </si>
  <si>
    <t>Budget</t>
  </si>
  <si>
    <t>Komen - Parking</t>
  </si>
  <si>
    <t>- COMPENSATIE SCHULD MANDEL</t>
  </si>
  <si>
    <t>Subsidies</t>
  </si>
  <si>
    <t>Startpremies nieuwe ringen</t>
  </si>
  <si>
    <t>615xxx</t>
  </si>
  <si>
    <t>Actual</t>
  </si>
  <si>
    <t>Colloquium</t>
  </si>
  <si>
    <t>Diversen</t>
  </si>
  <si>
    <t>Lustrum familiedag</t>
  </si>
  <si>
    <t>Verpakking</t>
  </si>
  <si>
    <t>Stickers</t>
  </si>
  <si>
    <t>Prints</t>
  </si>
  <si>
    <t>Recuperatie diverse onkosten</t>
  </si>
  <si>
    <t>Huur en huurlasten - niet recurrent</t>
  </si>
  <si>
    <t>Betoelaging</t>
  </si>
  <si>
    <t>Kosten Lustrum Familiedag</t>
  </si>
  <si>
    <t>Kosten Lustrum Colloquium</t>
  </si>
  <si>
    <t>Verhuiskosten</t>
  </si>
  <si>
    <t>Notitie- en memoblokjes, balpennen</t>
  </si>
  <si>
    <t>Diverse onkosten</t>
  </si>
  <si>
    <t>Diverse ontvangsten</t>
  </si>
  <si>
    <t>Ontvangen giften</t>
  </si>
  <si>
    <t>Recuperatie Vl. Fonds lastendelging</t>
  </si>
  <si>
    <t>Creditintresten</t>
  </si>
  <si>
    <t>Terugneming waarde- handelsvorderingen</t>
  </si>
  <si>
    <t>Toevoeging waarde- handelsvorderingen</t>
  </si>
  <si>
    <t>Ringbezoek</t>
  </si>
  <si>
    <t>Datum</t>
  </si>
  <si>
    <t># d</t>
  </si>
  <si>
    <t>2023/27</t>
  </si>
  <si>
    <t>Ledenportaal</t>
  </si>
  <si>
    <t>2023/70</t>
  </si>
  <si>
    <t>Komen veranderingswerken</t>
  </si>
  <si>
    <t>KBC BE14 7490 1881 8183</t>
  </si>
  <si>
    <t>Afschr</t>
  </si>
  <si>
    <t>CF</t>
  </si>
  <si>
    <t>waarde-</t>
  </si>
  <si>
    <t>waarde+</t>
  </si>
  <si>
    <t>DIFF</t>
  </si>
  <si>
    <t>Verschil</t>
  </si>
  <si>
    <t>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</si>
</sst>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4" fontId="2" fillId="0" borderId="2" xfId="0" applyNumberFormat="1" applyFont="1" applyBorder="1"/>
    <xf numFmtId="4" fontId="2" fillId="0" borderId="0" xfId="0" applyNumberFormat="1" applyFont="1"/>
    <xf numFmtId="0" fontId="2" fillId="0" borderId="3" xfId="0" applyFont="1" applyBorder="1"/>
    <xf numFmtId="4" fontId="2" fillId="0" borderId="3" xfId="0" applyNumberFormat="1" applyFont="1" applyBorder="1"/>
    <xf numFmtId="0" fontId="2" fillId="0" borderId="4" xfId="0" applyFont="1" applyBorder="1"/>
    <xf numFmtId="4" fontId="2" fillId="0" borderId="4" xfId="0" applyNumberFormat="1" applyFont="1" applyBorder="1"/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/>
    <xf numFmtId="0" fontId="2" fillId="2" borderId="5" xfId="0" applyFont="1" applyFill="1" applyBorder="1"/>
    <xf numFmtId="4" fontId="2" fillId="2" borderId="5" xfId="0" applyNumberFormat="1" applyFont="1" applyFill="1" applyBorder="1"/>
    <xf numFmtId="0" fontId="2" fillId="2" borderId="0" xfId="0" applyFont="1" applyFill="1"/>
    <xf numFmtId="4" fontId="2" fillId="2" borderId="0" xfId="0" applyNumberFormat="1" applyFont="1" applyFill="1"/>
    <xf numFmtId="0" fontId="2" fillId="2" borderId="3" xfId="0" applyFont="1" applyFill="1" applyBorder="1"/>
    <xf numFmtId="4" fontId="2" fillId="2" borderId="3" xfId="0" applyNumberFormat="1" applyFont="1" applyFill="1" applyBorder="1"/>
    <xf numFmtId="4" fontId="2" fillId="3" borderId="2" xfId="0" applyNumberFormat="1" applyFont="1" applyFill="1" applyBorder="1"/>
    <xf numFmtId="4" fontId="2" fillId="3" borderId="0" xfId="0" applyNumberFormat="1" applyFont="1" applyFill="1"/>
    <xf numFmtId="0" fontId="2" fillId="3" borderId="3" xfId="0" applyFont="1" applyFill="1" applyBorder="1"/>
    <xf numFmtId="4" fontId="2" fillId="3" borderId="4" xfId="0" applyNumberFormat="1" applyFont="1" applyFill="1" applyBorder="1"/>
    <xf numFmtId="4" fontId="2" fillId="3" borderId="3" xfId="0" applyNumberFormat="1" applyFont="1" applyFill="1" applyBorder="1"/>
    <xf numFmtId="0" fontId="2" fillId="3" borderId="0" xfId="0" applyFont="1" applyFill="1"/>
    <xf numFmtId="0" fontId="2" fillId="3" borderId="2" xfId="0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0" fontId="3" fillId="0" borderId="7" xfId="0" applyNumberFormat="1" applyFont="1" applyBorder="1"/>
    <xf numFmtId="4" fontId="3" fillId="0" borderId="7" xfId="0" applyNumberFormat="1" applyFont="1" applyBorder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0" fontId="3" fillId="0" borderId="0" xfId="0" applyNumberFormat="1" applyFont="1"/>
    <xf numFmtId="4" fontId="3" fillId="0" borderId="0" xfId="0" applyNumberFormat="1" applyFont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4" fontId="2" fillId="4" borderId="0" xfId="0" applyNumberFormat="1" applyFont="1" applyFill="1"/>
    <xf numFmtId="0" fontId="2" fillId="4" borderId="0" xfId="0" applyFont="1" applyFill="1"/>
    <xf numFmtId="0" fontId="2" fillId="0" borderId="0" xfId="0" quotePrefix="1" applyFont="1"/>
    <xf numFmtId="0" fontId="0" fillId="0" borderId="0" xfId="0" applyAlignment="1">
      <alignment horizontal="center"/>
    </xf>
    <xf numFmtId="0" fontId="2" fillId="0" borderId="7" xfId="0" applyFont="1" applyBorder="1"/>
    <xf numFmtId="0" fontId="2" fillId="5" borderId="0" xfId="0" applyFont="1" applyFill="1"/>
    <xf numFmtId="0" fontId="2" fillId="0" borderId="1" xfId="0" applyFont="1" applyBorder="1" applyAlignment="1">
      <alignment horizontal="center"/>
    </xf>
    <xf numFmtId="4" fontId="2" fillId="0" borderId="7" xfId="0" applyNumberFormat="1" applyFont="1" applyBorder="1"/>
    <xf numFmtId="0" fontId="4" fillId="0" borderId="0" xfId="0" applyFont="1"/>
    <xf numFmtId="0" fontId="4" fillId="0" borderId="0" xfId="0" quotePrefix="1" applyFont="1"/>
    <xf numFmtId="0" fontId="5" fillId="0" borderId="0" xfId="0" quotePrefix="1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2" fillId="6" borderId="7" xfId="0" applyFont="1" applyFill="1" applyBorder="1"/>
    <xf numFmtId="4" fontId="2" fillId="6" borderId="7" xfId="0" applyNumberFormat="1" applyFont="1" applyFill="1" applyBorder="1"/>
    <xf numFmtId="0" fontId="3" fillId="6" borderId="0" xfId="0" applyFont="1" applyFill="1"/>
    <xf numFmtId="0" fontId="4" fillId="6" borderId="0" xfId="0" applyFont="1" applyFill="1"/>
    <xf numFmtId="4" fontId="3" fillId="6" borderId="0" xfId="0" applyNumberFormat="1" applyFont="1" applyFill="1"/>
    <xf numFmtId="0" fontId="2" fillId="6" borderId="1" xfId="0" applyFont="1" applyFill="1" applyBorder="1"/>
    <xf numFmtId="0" fontId="1" fillId="6" borderId="1" xfId="0" applyFont="1" applyFill="1" applyBorder="1"/>
    <xf numFmtId="4" fontId="2" fillId="6" borderId="1" xfId="0" applyNumberFormat="1" applyFont="1" applyFill="1" applyBorder="1"/>
    <xf numFmtId="0" fontId="1" fillId="6" borderId="7" xfId="0" applyFont="1" applyFill="1" applyBorder="1"/>
    <xf numFmtId="0" fontId="3" fillId="6" borderId="1" xfId="0" applyFont="1" applyFill="1" applyBorder="1"/>
    <xf numFmtId="0" fontId="4" fillId="6" borderId="1" xfId="0" applyFont="1" applyFill="1" applyBorder="1"/>
    <xf numFmtId="4" fontId="3" fillId="6" borderId="1" xfId="0" applyNumberFormat="1" applyFont="1" applyFill="1" applyBorder="1"/>
    <xf numFmtId="0" fontId="5" fillId="0" borderId="0" xfId="0" applyFont="1"/>
    <xf numFmtId="0" fontId="1" fillId="3" borderId="0" xfId="0" applyFont="1" applyFill="1"/>
    <xf numFmtId="0" fontId="1" fillId="0" borderId="3" xfId="0" applyFont="1" applyBorder="1"/>
    <xf numFmtId="14" fontId="3" fillId="0" borderId="0" xfId="0" applyNumberFormat="1" applyFont="1" applyAlignment="1">
      <alignment horizontal="center"/>
    </xf>
    <xf numFmtId="0" fontId="1" fillId="0" borderId="10" xfId="0" applyFont="1" applyBorder="1"/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0" xfId="0" applyFont="1" applyBorder="1"/>
    <xf numFmtId="10" fontId="2" fillId="0" borderId="10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" fontId="1" fillId="7" borderId="0" xfId="0" applyNumberFormat="1" applyFont="1" applyFill="1" applyAlignment="1">
      <alignment horizontal="right"/>
    </xf>
    <xf numFmtId="0" fontId="3" fillId="8" borderId="0" xfId="0" applyFont="1" applyFill="1" applyAlignment="1">
      <alignment horizontal="center"/>
    </xf>
    <xf numFmtId="0" fontId="2" fillId="8" borderId="3" xfId="0" applyFont="1" applyFill="1" applyBorder="1"/>
    <xf numFmtId="4" fontId="2" fillId="8" borderId="0" xfId="0" applyNumberFormat="1" applyFont="1" applyFill="1"/>
    <xf numFmtId="0" fontId="2" fillId="8" borderId="0" xfId="0" applyFont="1" applyFill="1"/>
    <xf numFmtId="4" fontId="3" fillId="8" borderId="0" xfId="0" applyNumberFormat="1" applyFont="1" applyFill="1"/>
    <xf numFmtId="0" fontId="3" fillId="8" borderId="0" xfId="0" applyFont="1" applyFill="1"/>
    <xf numFmtId="164" fontId="3" fillId="8" borderId="0" xfId="0" applyNumberFormat="1" applyFont="1" applyFill="1"/>
    <xf numFmtId="4" fontId="1" fillId="0" borderId="10" xfId="0" applyNumberFormat="1" applyFont="1" applyBorder="1"/>
    <xf numFmtId="4" fontId="8" fillId="0" borderId="0" xfId="0" applyNumberFormat="1" applyFont="1"/>
    <xf numFmtId="10" fontId="1" fillId="0" borderId="10" xfId="0" applyNumberFormat="1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3" fillId="0" borderId="16" xfId="0" applyNumberFormat="1" applyFont="1" applyBorder="1"/>
    <xf numFmtId="4" fontId="0" fillId="0" borderId="0" xfId="0" applyNumberFormat="1"/>
    <xf numFmtId="0" fontId="7" fillId="0" borderId="0" xfId="0" applyFont="1"/>
    <xf numFmtId="4" fontId="7" fillId="0" borderId="0" xfId="0" applyNumberFormat="1" applyFont="1"/>
    <xf numFmtId="0" fontId="7" fillId="0" borderId="7" xfId="0" applyFont="1" applyBorder="1"/>
    <xf numFmtId="4" fontId="7" fillId="0" borderId="7" xfId="0" applyNumberFormat="1" applyFont="1" applyBorder="1"/>
    <xf numFmtId="0" fontId="0" fillId="0" borderId="7" xfId="0" applyBorder="1"/>
    <xf numFmtId="4" fontId="0" fillId="0" borderId="7" xfId="0" applyNumberFormat="1" applyBorder="1"/>
    <xf numFmtId="0" fontId="7" fillId="0" borderId="1" xfId="0" applyFont="1" applyBorder="1"/>
    <xf numFmtId="1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0" fontId="1" fillId="0" borderId="10" xfId="0" applyNumberFormat="1" applyFont="1" applyBorder="1" applyAlignment="1">
      <alignment horizontal="right" vertical="center"/>
    </xf>
    <xf numFmtId="10" fontId="0" fillId="0" borderId="10" xfId="0" applyNumberForma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Fill="1"/>
    <xf numFmtId="4" fontId="2" fillId="0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9A93-6C46-4EB9-9719-281E49BF325E}">
  <dimension ref="A1:Y185"/>
  <sheetViews>
    <sheetView showGridLines="0" tabSelected="1" topLeftCell="H134" zoomScale="150" zoomScaleNormal="150" workbookViewId="0">
      <selection activeCell="L159" sqref="L159"/>
    </sheetView>
  </sheetViews>
  <sheetFormatPr baseColWidth="10" defaultColWidth="9.1640625" defaultRowHeight="15" x14ac:dyDescent="0.2"/>
  <cols>
    <col min="1" max="1" width="7" style="2" bestFit="1" customWidth="1"/>
    <col min="2" max="2" width="37.5" style="2" bestFit="1" customWidth="1"/>
    <col min="3" max="3" width="10.1640625" style="2" bestFit="1" customWidth="1"/>
    <col min="4" max="4" width="9.33203125" style="2" hidden="1" customWidth="1"/>
    <col min="5" max="5" width="37.5" style="2" bestFit="1" customWidth="1"/>
    <col min="6" max="6" width="10.1640625" style="1" bestFit="1" customWidth="1"/>
    <col min="7" max="7" width="20.1640625" style="93" bestFit="1" customWidth="1"/>
    <col min="8" max="8" width="6.33203125" style="1" bestFit="1" customWidth="1"/>
    <col min="9" max="9" width="8.1640625" style="1" hidden="1" customWidth="1"/>
    <col min="10" max="10" width="39.6640625" style="1" bestFit="1" customWidth="1"/>
    <col min="11" max="12" width="12" style="2" bestFit="1" customWidth="1"/>
    <col min="13" max="13" width="12" style="2" customWidth="1"/>
    <col min="14" max="14" width="12" style="2" bestFit="1" customWidth="1"/>
    <col min="15" max="15" width="12" style="2" customWidth="1"/>
    <col min="16" max="17" width="13.1640625" style="2" bestFit="1" customWidth="1"/>
    <col min="18" max="20" width="8.83203125" customWidth="1"/>
    <col min="21" max="16384" width="9.1640625" style="1"/>
  </cols>
  <sheetData>
    <row r="1" spans="1:20" x14ac:dyDescent="0.2">
      <c r="A1" s="11"/>
      <c r="B1" s="11"/>
      <c r="C1" s="32" t="s">
        <v>214</v>
      </c>
      <c r="D1" s="11"/>
      <c r="E1" s="11"/>
      <c r="F1" s="32" t="s">
        <v>214</v>
      </c>
      <c r="G1" s="86"/>
      <c r="H1" s="81"/>
      <c r="K1" s="32" t="s">
        <v>215</v>
      </c>
      <c r="L1" s="32" t="s">
        <v>215</v>
      </c>
      <c r="M1" s="95" t="s">
        <v>221</v>
      </c>
      <c r="N1" s="32" t="s">
        <v>215</v>
      </c>
      <c r="O1" s="95" t="s">
        <v>221</v>
      </c>
      <c r="P1" s="32" t="s">
        <v>215</v>
      </c>
      <c r="Q1" s="32" t="s">
        <v>256</v>
      </c>
    </row>
    <row r="2" spans="1:20" x14ac:dyDescent="0.2">
      <c r="A2" s="11"/>
      <c r="B2" s="11"/>
      <c r="C2" s="80">
        <v>44561</v>
      </c>
      <c r="D2" s="11"/>
      <c r="E2" s="11"/>
      <c r="F2" s="80">
        <v>44196</v>
      </c>
      <c r="G2" s="86" t="s">
        <v>184</v>
      </c>
      <c r="H2" s="82" t="s">
        <v>103</v>
      </c>
      <c r="J2" s="63"/>
      <c r="K2" s="32">
        <v>2022</v>
      </c>
      <c r="L2" s="32">
        <v>2023</v>
      </c>
      <c r="M2" s="95">
        <v>2023</v>
      </c>
      <c r="N2" s="32">
        <v>2024</v>
      </c>
      <c r="O2" s="95">
        <v>2024</v>
      </c>
      <c r="P2" s="32">
        <v>2025</v>
      </c>
      <c r="Q2" s="32" t="s">
        <v>140</v>
      </c>
    </row>
    <row r="3" spans="1:20" ht="16" thickBot="1" x14ac:dyDescent="0.25">
      <c r="A3" s="7"/>
      <c r="B3" s="7"/>
      <c r="C3" s="7"/>
      <c r="D3" s="7"/>
      <c r="E3" s="7"/>
      <c r="F3" s="7"/>
      <c r="G3" s="87"/>
      <c r="H3" s="83"/>
      <c r="I3" s="79"/>
      <c r="J3" s="79"/>
      <c r="K3" s="7"/>
      <c r="L3" s="7"/>
      <c r="M3" s="96"/>
      <c r="N3" s="7"/>
      <c r="O3" s="96"/>
      <c r="P3" s="7"/>
      <c r="Q3" s="7"/>
    </row>
    <row r="4" spans="1:20" x14ac:dyDescent="0.2">
      <c r="A4" s="2">
        <v>604000</v>
      </c>
      <c r="B4" s="2" t="s">
        <v>0</v>
      </c>
      <c r="C4" s="21">
        <v>277.77</v>
      </c>
      <c r="D4" s="2">
        <v>604000</v>
      </c>
      <c r="E4" s="2" t="s">
        <v>0</v>
      </c>
      <c r="F4" s="21">
        <v>1496.34</v>
      </c>
      <c r="G4" s="88" t="s">
        <v>178</v>
      </c>
      <c r="H4" s="84"/>
      <c r="I4" s="2">
        <v>604000</v>
      </c>
      <c r="J4" s="2" t="s">
        <v>0</v>
      </c>
      <c r="K4" s="6">
        <f>'BASIS HISTORISCHE CIJFERS'!$D$5</f>
        <v>2779.8983333333331</v>
      </c>
      <c r="L4" s="6">
        <f>+K4</f>
        <v>2779.8983333333331</v>
      </c>
      <c r="M4" s="97">
        <v>2338.2800000000002</v>
      </c>
      <c r="N4" s="6">
        <f>+L4</f>
        <v>2779.8983333333331</v>
      </c>
      <c r="O4" s="97">
        <v>5518.06</v>
      </c>
      <c r="P4" s="6">
        <f t="shared" ref="P4" si="0">+N4</f>
        <v>2779.8983333333331</v>
      </c>
      <c r="Q4" s="6">
        <f>N(N4)</f>
        <v>2779.8983333333331</v>
      </c>
    </row>
    <row r="5" spans="1:20" ht="14" x14ac:dyDescent="0.15">
      <c r="A5" s="2">
        <v>609400</v>
      </c>
      <c r="B5" s="2" t="s">
        <v>48</v>
      </c>
      <c r="C5" s="21"/>
      <c r="D5" s="2">
        <v>609400</v>
      </c>
      <c r="E5" s="2" t="s">
        <v>48</v>
      </c>
      <c r="F5" s="21">
        <v>38.5</v>
      </c>
      <c r="G5" s="88"/>
      <c r="H5" s="84"/>
      <c r="I5" s="2">
        <v>609400</v>
      </c>
      <c r="J5" s="2" t="s">
        <v>48</v>
      </c>
      <c r="M5" s="97"/>
      <c r="O5" s="97"/>
      <c r="R5" s="1"/>
      <c r="S5" s="1"/>
      <c r="T5" s="1"/>
    </row>
    <row r="6" spans="1:20" ht="14" x14ac:dyDescent="0.15">
      <c r="A6" s="2">
        <v>609410</v>
      </c>
      <c r="B6" s="2" t="s">
        <v>49</v>
      </c>
      <c r="C6" s="21"/>
      <c r="D6" s="2">
        <v>609410</v>
      </c>
      <c r="E6" s="2" t="s">
        <v>49</v>
      </c>
      <c r="F6" s="21">
        <v>442.24</v>
      </c>
      <c r="G6" s="88"/>
      <c r="H6" s="84"/>
      <c r="I6" s="2">
        <v>609410</v>
      </c>
      <c r="J6" s="2" t="s">
        <v>49</v>
      </c>
      <c r="M6" s="97"/>
      <c r="O6" s="97"/>
      <c r="R6" s="1"/>
      <c r="S6" s="1"/>
      <c r="T6" s="1"/>
    </row>
    <row r="7" spans="1:20" ht="14" x14ac:dyDescent="0.15">
      <c r="A7" s="2">
        <v>609420</v>
      </c>
      <c r="B7" s="2" t="s">
        <v>66</v>
      </c>
      <c r="C7" s="21"/>
      <c r="D7" s="2">
        <v>609420</v>
      </c>
      <c r="E7" s="2" t="s">
        <v>66</v>
      </c>
      <c r="F7" s="25"/>
      <c r="G7" s="88"/>
      <c r="H7" s="84"/>
      <c r="I7" s="2">
        <v>609420</v>
      </c>
      <c r="J7" s="2" t="s">
        <v>66</v>
      </c>
      <c r="M7" s="97"/>
      <c r="O7" s="97"/>
      <c r="R7" s="1"/>
      <c r="S7" s="1"/>
      <c r="T7" s="1"/>
    </row>
    <row r="8" spans="1:20" ht="14" x14ac:dyDescent="0.15">
      <c r="A8" s="2">
        <v>610000</v>
      </c>
      <c r="B8" s="2" t="s">
        <v>1</v>
      </c>
      <c r="C8" s="21">
        <v>3730.56</v>
      </c>
      <c r="D8" s="2">
        <v>610000</v>
      </c>
      <c r="E8" s="2" t="s">
        <v>1</v>
      </c>
      <c r="F8" s="21">
        <v>3706.92</v>
      </c>
      <c r="G8" s="88" t="s">
        <v>181</v>
      </c>
      <c r="H8" s="85">
        <v>2.5000000000000001E-2</v>
      </c>
      <c r="I8" s="2">
        <v>610000</v>
      </c>
      <c r="J8" s="2" t="s">
        <v>1</v>
      </c>
      <c r="K8" s="6">
        <f>OVERIGE!$F$3</f>
        <v>3694.06</v>
      </c>
      <c r="L8" s="6">
        <f>+ROUND(+K8+(K8*$H8),2)</f>
        <v>3786.41</v>
      </c>
      <c r="M8" s="97">
        <v>5106.6499999999996</v>
      </c>
      <c r="N8" s="6">
        <v>5106.6499999999996</v>
      </c>
      <c r="O8" s="97">
        <v>6180</v>
      </c>
      <c r="P8" s="6">
        <v>6500</v>
      </c>
      <c r="Q8" s="6">
        <v>6500</v>
      </c>
      <c r="R8" s="1"/>
      <c r="S8" s="1"/>
      <c r="T8" s="1"/>
    </row>
    <row r="9" spans="1:20" ht="14" x14ac:dyDescent="0.15">
      <c r="A9" s="2">
        <v>610001</v>
      </c>
      <c r="B9" s="2" t="s">
        <v>229</v>
      </c>
      <c r="C9" s="21"/>
      <c r="E9" s="2" t="s">
        <v>229</v>
      </c>
      <c r="F9" s="21"/>
      <c r="G9" s="88"/>
      <c r="H9" s="85"/>
      <c r="I9" s="2"/>
      <c r="J9" s="2" t="s">
        <v>229</v>
      </c>
      <c r="K9" s="6"/>
      <c r="L9" s="6"/>
      <c r="M9" s="97">
        <v>5824.65</v>
      </c>
      <c r="N9" s="6"/>
      <c r="O9" s="97"/>
      <c r="P9" s="6"/>
      <c r="Q9" s="6"/>
      <c r="R9" s="1"/>
      <c r="S9" s="1"/>
      <c r="T9" s="1"/>
    </row>
    <row r="10" spans="1:20" ht="14" x14ac:dyDescent="0.15">
      <c r="A10" s="2">
        <v>611000</v>
      </c>
      <c r="B10" s="2" t="s">
        <v>67</v>
      </c>
      <c r="C10" s="21"/>
      <c r="D10" s="2">
        <v>611000</v>
      </c>
      <c r="E10" s="2" t="s">
        <v>67</v>
      </c>
      <c r="F10" s="21"/>
      <c r="G10" s="88"/>
      <c r="H10" s="84"/>
      <c r="I10" s="2">
        <v>611000</v>
      </c>
      <c r="J10" s="2" t="s">
        <v>67</v>
      </c>
      <c r="K10" s="6">
        <f>'BASIS HISTORISCHE CIJFERS'!B10</f>
        <v>165.31666666666666</v>
      </c>
      <c r="L10" s="6">
        <f t="shared" ref="L10" si="1">+K10</f>
        <v>165.31666666666666</v>
      </c>
      <c r="M10" s="97">
        <v>1271.04</v>
      </c>
      <c r="N10" s="6">
        <f>+L10</f>
        <v>165.31666666666666</v>
      </c>
      <c r="O10" s="97">
        <v>1473.91</v>
      </c>
      <c r="P10" s="6">
        <v>1400</v>
      </c>
      <c r="Q10" s="6">
        <v>1400</v>
      </c>
      <c r="R10" s="1"/>
      <c r="S10" s="1"/>
      <c r="T10" s="1"/>
    </row>
    <row r="11" spans="1:20" ht="14" x14ac:dyDescent="0.15">
      <c r="A11" s="2">
        <v>611002</v>
      </c>
      <c r="B11" s="2" t="s">
        <v>50</v>
      </c>
      <c r="C11" s="21"/>
      <c r="D11" s="2">
        <v>611002</v>
      </c>
      <c r="E11" s="2" t="s">
        <v>50</v>
      </c>
      <c r="F11" s="21">
        <v>810.36</v>
      </c>
      <c r="G11" s="88"/>
      <c r="H11" s="84"/>
      <c r="I11" s="2">
        <v>611002</v>
      </c>
      <c r="J11" s="2" t="s">
        <v>50</v>
      </c>
      <c r="K11" s="6">
        <f>'BASIS HISTORISCHE CIJFERS'!B11</f>
        <v>829.255</v>
      </c>
      <c r="L11" s="6">
        <f t="shared" ref="L11" si="2">+K11</f>
        <v>829.255</v>
      </c>
      <c r="M11" s="97"/>
      <c r="N11" s="6">
        <f>+L11</f>
        <v>829.255</v>
      </c>
      <c r="O11" s="97"/>
      <c r="P11" s="6">
        <f>+N11</f>
        <v>829.255</v>
      </c>
      <c r="Q11" s="6">
        <f>+P11</f>
        <v>829.255</v>
      </c>
      <c r="R11" s="1"/>
      <c r="S11" s="1"/>
      <c r="T11" s="1"/>
    </row>
    <row r="12" spans="1:20" ht="14" x14ac:dyDescent="0.15">
      <c r="A12" s="2">
        <v>611005</v>
      </c>
      <c r="B12" s="2" t="s">
        <v>2</v>
      </c>
      <c r="C12" s="21">
        <v>10408.73</v>
      </c>
      <c r="D12" s="2">
        <v>611005</v>
      </c>
      <c r="E12" s="2" t="s">
        <v>2</v>
      </c>
      <c r="F12" s="21">
        <v>5188.43</v>
      </c>
      <c r="G12" s="88"/>
      <c r="H12" s="84"/>
      <c r="I12" s="2">
        <v>611005</v>
      </c>
      <c r="J12" s="2" t="s">
        <v>2</v>
      </c>
      <c r="K12" s="6">
        <f>'BASIS HISTORISCHE CIJFERS'!$D$12</f>
        <v>4165.3999999999996</v>
      </c>
      <c r="L12" s="6">
        <f t="shared" ref="L12" si="3">+K12</f>
        <v>4165.3999999999996</v>
      </c>
      <c r="M12" s="97">
        <v>1125.94</v>
      </c>
      <c r="N12" s="6">
        <f>+L12</f>
        <v>4165.3999999999996</v>
      </c>
      <c r="O12" s="97"/>
      <c r="P12" s="6">
        <v>0</v>
      </c>
      <c r="Q12" s="6">
        <v>0</v>
      </c>
      <c r="R12" s="1"/>
      <c r="S12" s="1"/>
      <c r="T12" s="1"/>
    </row>
    <row r="13" spans="1:20" ht="14" x14ac:dyDescent="0.15">
      <c r="A13" s="2">
        <v>612000</v>
      </c>
      <c r="B13" s="2" t="s">
        <v>68</v>
      </c>
      <c r="C13" s="21"/>
      <c r="D13" s="2">
        <v>612000</v>
      </c>
      <c r="E13" s="2" t="s">
        <v>68</v>
      </c>
      <c r="F13" s="21"/>
      <c r="G13" s="88" t="s">
        <v>213</v>
      </c>
      <c r="H13" s="85">
        <v>2.5000000000000001E-2</v>
      </c>
      <c r="I13" s="2">
        <v>612000</v>
      </c>
      <c r="J13" s="2" t="s">
        <v>68</v>
      </c>
      <c r="K13" s="6">
        <v>5115.6000000000004</v>
      </c>
      <c r="L13" s="6">
        <f>+ROUND(+K13+(K13*$H13),2)</f>
        <v>5243.49</v>
      </c>
      <c r="M13" s="97">
        <v>122.85</v>
      </c>
      <c r="N13" s="6">
        <f>+ROUND(+L13+(L13*$H13),2)</f>
        <v>5374.58</v>
      </c>
      <c r="O13" s="97"/>
      <c r="P13" s="6">
        <v>500</v>
      </c>
      <c r="Q13" s="6">
        <v>500</v>
      </c>
      <c r="R13" s="1"/>
      <c r="S13" s="1"/>
      <c r="T13" s="1"/>
    </row>
    <row r="14" spans="1:20" ht="14" x14ac:dyDescent="0.15">
      <c r="A14" s="2">
        <v>612007</v>
      </c>
      <c r="B14" s="2" t="s">
        <v>3</v>
      </c>
      <c r="C14" s="21">
        <v>8338.4599999999991</v>
      </c>
      <c r="D14" s="2">
        <v>612007</v>
      </c>
      <c r="E14" s="2" t="s">
        <v>3</v>
      </c>
      <c r="F14" s="21">
        <v>7862.86</v>
      </c>
      <c r="G14" s="88" t="s">
        <v>213</v>
      </c>
      <c r="H14" s="84"/>
      <c r="I14" s="2">
        <v>612007</v>
      </c>
      <c r="J14" s="2" t="s">
        <v>3</v>
      </c>
      <c r="K14" s="6">
        <f>'BASIS HISTORISCHE CIJFERS'!B14</f>
        <v>9650.1933333333327</v>
      </c>
      <c r="L14" s="6">
        <f t="shared" ref="L14" si="4">+K14</f>
        <v>9650.1933333333327</v>
      </c>
      <c r="M14" s="97">
        <v>13871.44</v>
      </c>
      <c r="N14" s="6">
        <v>13871.44</v>
      </c>
      <c r="O14" s="97">
        <v>15131.86</v>
      </c>
      <c r="P14" s="6">
        <v>16000</v>
      </c>
      <c r="Q14" s="6">
        <v>16000</v>
      </c>
      <c r="R14" s="1"/>
      <c r="S14" s="1"/>
      <c r="T14" s="1"/>
    </row>
    <row r="15" spans="1:20" ht="14" x14ac:dyDescent="0.15">
      <c r="A15" s="2">
        <v>612008</v>
      </c>
      <c r="B15" s="2" t="s">
        <v>51</v>
      </c>
      <c r="C15" s="21"/>
      <c r="D15" s="2">
        <v>612008</v>
      </c>
      <c r="E15" s="2" t="s">
        <v>51</v>
      </c>
      <c r="F15" s="21">
        <v>16123.15</v>
      </c>
      <c r="G15" s="88" t="s">
        <v>213</v>
      </c>
      <c r="H15" s="84"/>
      <c r="I15" s="2">
        <v>612008</v>
      </c>
      <c r="J15" s="2" t="s">
        <v>51</v>
      </c>
      <c r="K15" s="6"/>
      <c r="L15" s="6"/>
      <c r="M15" s="97"/>
      <c r="N15" s="6"/>
      <c r="O15" s="97"/>
      <c r="P15" s="6"/>
      <c r="Q15" s="6"/>
      <c r="R15" s="1"/>
      <c r="S15" s="1"/>
      <c r="T15" s="1"/>
    </row>
    <row r="16" spans="1:20" ht="14" x14ac:dyDescent="0.15">
      <c r="A16" s="2">
        <v>612009</v>
      </c>
      <c r="B16" s="2" t="s">
        <v>4</v>
      </c>
      <c r="C16" s="21">
        <v>922.41</v>
      </c>
      <c r="D16" s="2">
        <v>612009</v>
      </c>
      <c r="E16" s="2" t="s">
        <v>4</v>
      </c>
      <c r="F16" s="21">
        <v>1173.3800000000001</v>
      </c>
      <c r="G16" s="88" t="s">
        <v>199</v>
      </c>
      <c r="H16" s="84"/>
      <c r="I16" s="2">
        <v>612009</v>
      </c>
      <c r="J16" s="2" t="s">
        <v>4</v>
      </c>
      <c r="K16" s="6">
        <f>'BASIS HISTORISCHE CIJFERS'!$B$16</f>
        <v>1692.9716666666666</v>
      </c>
      <c r="L16" s="6">
        <f>+K16</f>
        <v>1692.9716666666666</v>
      </c>
      <c r="M16" s="97">
        <v>815.4</v>
      </c>
      <c r="N16" s="6">
        <f>+L16</f>
        <v>1692.9716666666666</v>
      </c>
      <c r="O16" s="97">
        <v>884.79</v>
      </c>
      <c r="P16" s="6">
        <v>1000</v>
      </c>
      <c r="Q16" s="6">
        <v>1000</v>
      </c>
      <c r="R16" s="1"/>
      <c r="S16" s="1"/>
      <c r="T16" s="1"/>
    </row>
    <row r="17" spans="1:20" ht="14" x14ac:dyDescent="0.15">
      <c r="A17" s="2">
        <v>612010</v>
      </c>
      <c r="B17" s="2" t="s">
        <v>5</v>
      </c>
      <c r="C17" s="21">
        <v>100</v>
      </c>
      <c r="D17" s="2">
        <v>612010</v>
      </c>
      <c r="E17" s="2" t="s">
        <v>5</v>
      </c>
      <c r="F17" s="21">
        <v>2368.88</v>
      </c>
      <c r="G17" s="88" t="s">
        <v>199</v>
      </c>
      <c r="H17" s="84"/>
      <c r="I17" s="2">
        <v>612010</v>
      </c>
      <c r="J17" s="2" t="s">
        <v>5</v>
      </c>
      <c r="K17" s="6">
        <f>'BASIS HISTORISCHE CIJFERS'!B17</f>
        <v>871.49166666666645</v>
      </c>
      <c r="L17" s="6">
        <f t="shared" ref="L17" si="5">+K17</f>
        <v>871.49166666666645</v>
      </c>
      <c r="M17" s="97">
        <v>110</v>
      </c>
      <c r="N17" s="6">
        <f>+L17</f>
        <v>871.49166666666645</v>
      </c>
      <c r="O17" s="97">
        <v>115</v>
      </c>
      <c r="P17" s="6">
        <v>300</v>
      </c>
      <c r="Q17" s="6">
        <v>300</v>
      </c>
      <c r="R17" s="1"/>
      <c r="S17" s="1"/>
      <c r="T17" s="1"/>
    </row>
    <row r="18" spans="1:20" ht="14" x14ac:dyDescent="0.15">
      <c r="A18" s="2">
        <v>612011</v>
      </c>
      <c r="B18" s="2" t="s">
        <v>6</v>
      </c>
      <c r="C18" s="21">
        <v>1546.56</v>
      </c>
      <c r="D18" s="2">
        <v>612011</v>
      </c>
      <c r="E18" s="2" t="s">
        <v>6</v>
      </c>
      <c r="F18" s="21">
        <v>387.44</v>
      </c>
      <c r="G18" s="88" t="s">
        <v>199</v>
      </c>
      <c r="H18" s="84"/>
      <c r="I18" s="2">
        <v>612011</v>
      </c>
      <c r="J18" s="2" t="s">
        <v>6</v>
      </c>
      <c r="K18" s="6">
        <f>'BASIS HISTORISCHE CIJFERS'!B18</f>
        <v>1036.3866666666665</v>
      </c>
      <c r="L18" s="6">
        <f t="shared" ref="L18" si="6">+K18</f>
        <v>1036.3866666666665</v>
      </c>
      <c r="M18" s="97">
        <f>12705.46-11142.2</f>
        <v>1563.2599999999984</v>
      </c>
      <c r="N18" s="6">
        <f>+L18</f>
        <v>1036.3866666666665</v>
      </c>
      <c r="O18" s="97">
        <f>15888.32-14325.14</f>
        <v>1563.1800000000003</v>
      </c>
      <c r="P18" s="6">
        <v>1500</v>
      </c>
      <c r="Q18" s="6">
        <v>1500</v>
      </c>
      <c r="R18" s="1"/>
      <c r="S18" s="1"/>
      <c r="T18" s="1"/>
    </row>
    <row r="19" spans="1:20" ht="14" x14ac:dyDescent="0.15">
      <c r="A19" s="2">
        <v>612012</v>
      </c>
      <c r="B19" s="2" t="s">
        <v>7</v>
      </c>
      <c r="C19" s="21">
        <v>1710.64</v>
      </c>
      <c r="D19" s="2">
        <v>612012</v>
      </c>
      <c r="E19" s="2" t="s">
        <v>7</v>
      </c>
      <c r="F19" s="25"/>
      <c r="G19" s="88" t="s">
        <v>199</v>
      </c>
      <c r="H19" s="84"/>
      <c r="I19" s="2">
        <v>612012</v>
      </c>
      <c r="J19" s="2" t="s">
        <v>7</v>
      </c>
      <c r="K19" s="6">
        <f>'BASIS HISTORISCHE CIJFERS'!B19</f>
        <v>303.77333333333337</v>
      </c>
      <c r="L19" s="6">
        <f t="shared" ref="L19" si="7">+K19</f>
        <v>303.77333333333337</v>
      </c>
      <c r="M19" s="97"/>
      <c r="N19" s="6">
        <f>+L19</f>
        <v>303.77333333333337</v>
      </c>
      <c r="O19" s="97">
        <v>80.59</v>
      </c>
      <c r="P19" s="6">
        <v>0</v>
      </c>
      <c r="Q19" s="6">
        <v>0</v>
      </c>
      <c r="R19" s="1"/>
      <c r="S19" s="1"/>
      <c r="T19" s="1"/>
    </row>
    <row r="20" spans="1:20" ht="14" x14ac:dyDescent="0.15">
      <c r="A20" s="2">
        <v>612013</v>
      </c>
      <c r="B20" s="2" t="s">
        <v>226</v>
      </c>
      <c r="C20" s="21"/>
      <c r="E20" s="2" t="s">
        <v>226</v>
      </c>
      <c r="F20" s="25"/>
      <c r="G20" s="88"/>
      <c r="H20" s="84"/>
      <c r="I20" s="2"/>
      <c r="J20" s="2" t="s">
        <v>226</v>
      </c>
      <c r="K20" s="6"/>
      <c r="L20" s="6"/>
      <c r="M20" s="97">
        <v>34.97</v>
      </c>
      <c r="N20" s="6"/>
      <c r="O20" s="97"/>
      <c r="P20" s="6"/>
      <c r="Q20" s="6"/>
      <c r="R20" s="1"/>
      <c r="S20" s="1"/>
      <c r="T20" s="1"/>
    </row>
    <row r="21" spans="1:20" ht="14" x14ac:dyDescent="0.15">
      <c r="A21" s="1"/>
      <c r="B21" s="1"/>
      <c r="C21" s="78"/>
      <c r="D21" s="1"/>
      <c r="E21" s="1"/>
      <c r="F21" s="78"/>
      <c r="G21" s="88"/>
      <c r="H21" s="84"/>
      <c r="I21" s="2"/>
      <c r="J21" s="2"/>
      <c r="K21" s="6"/>
      <c r="L21" s="6"/>
      <c r="M21" s="97"/>
      <c r="N21" s="6"/>
      <c r="O21" s="97"/>
      <c r="P21" s="6"/>
      <c r="Q21" s="6"/>
      <c r="R21" s="1"/>
      <c r="S21" s="1"/>
      <c r="T21" s="1"/>
    </row>
    <row r="22" spans="1:20" ht="14" x14ac:dyDescent="0.15">
      <c r="A22" s="2">
        <v>613001</v>
      </c>
      <c r="B22" s="2" t="s">
        <v>8</v>
      </c>
      <c r="C22" s="21">
        <v>2607.84</v>
      </c>
      <c r="D22" s="2">
        <v>613001</v>
      </c>
      <c r="E22" s="2" t="s">
        <v>8</v>
      </c>
      <c r="F22" s="21">
        <v>2740.55</v>
      </c>
      <c r="G22" s="88" t="s">
        <v>181</v>
      </c>
      <c r="H22" s="85">
        <v>2.5000000000000001E-2</v>
      </c>
      <c r="I22" s="2">
        <v>613001</v>
      </c>
      <c r="J22" s="2" t="s">
        <v>8</v>
      </c>
      <c r="K22" s="6">
        <f>OVERIGE!F4</f>
        <v>2673.04</v>
      </c>
      <c r="L22" s="6">
        <f>+ROUND(+K22+(K22*$H22),2)</f>
        <v>2739.87</v>
      </c>
      <c r="M22" s="97">
        <v>2512.75</v>
      </c>
      <c r="N22" s="6">
        <f>+ROUND(+L22+(L22*$H22),2)</f>
        <v>2808.37</v>
      </c>
      <c r="O22" s="97">
        <v>6373</v>
      </c>
      <c r="P22" s="6">
        <f>+ROUND(+N22+(N22*$H22),2)</f>
        <v>2878.58</v>
      </c>
      <c r="Q22" s="6">
        <f>+ROUND(+N22+(N22*$H22),2)</f>
        <v>2878.58</v>
      </c>
      <c r="R22" s="1"/>
      <c r="S22" s="1"/>
      <c r="T22" s="1"/>
    </row>
    <row r="23" spans="1:20" ht="14" x14ac:dyDescent="0.15">
      <c r="A23" s="1"/>
      <c r="B23" s="1"/>
      <c r="C23" s="78"/>
      <c r="D23" s="1"/>
      <c r="E23" s="1"/>
      <c r="F23" s="78"/>
      <c r="G23" s="88"/>
      <c r="H23" s="85"/>
      <c r="I23" s="2">
        <v>613001</v>
      </c>
      <c r="J23" s="2" t="s">
        <v>212</v>
      </c>
      <c r="K23" s="6">
        <v>850</v>
      </c>
      <c r="L23" s="6"/>
      <c r="M23" s="97">
        <v>719.95</v>
      </c>
      <c r="N23" s="6"/>
      <c r="O23" s="97"/>
      <c r="P23" s="6"/>
      <c r="Q23" s="6"/>
      <c r="R23" s="1"/>
      <c r="S23" s="1"/>
      <c r="T23" s="1"/>
    </row>
    <row r="24" spans="1:20" ht="14" x14ac:dyDescent="0.15">
      <c r="A24" s="2">
        <v>613002</v>
      </c>
      <c r="B24" s="2" t="s">
        <v>9</v>
      </c>
      <c r="C24" s="21">
        <v>556.48</v>
      </c>
      <c r="D24" s="2">
        <v>613002</v>
      </c>
      <c r="E24" s="2" t="s">
        <v>9</v>
      </c>
      <c r="F24" s="21">
        <v>561.07000000000005</v>
      </c>
      <c r="G24" s="88" t="s">
        <v>181</v>
      </c>
      <c r="H24" s="85">
        <f>+H22</f>
        <v>2.5000000000000001E-2</v>
      </c>
      <c r="I24" s="2">
        <v>613002</v>
      </c>
      <c r="J24" s="2" t="s">
        <v>9</v>
      </c>
      <c r="K24" s="6">
        <f>OVERIGE!F5</f>
        <v>570.39</v>
      </c>
      <c r="L24" s="6">
        <f>+ROUND(+K24+(K24*$H24),2)</f>
        <v>584.65</v>
      </c>
      <c r="M24" s="97">
        <v>1243.49</v>
      </c>
      <c r="N24" s="6">
        <f>+ROUND(+L24+(L24*$H24),2)</f>
        <v>599.27</v>
      </c>
      <c r="O24" s="97">
        <v>1532.94</v>
      </c>
      <c r="P24" s="6">
        <f>+ROUND(+N24+(N24*$H24),2)</f>
        <v>614.25</v>
      </c>
      <c r="Q24" s="6">
        <f>+ROUND(+N24+(N24*$H24),2)</f>
        <v>614.25</v>
      </c>
      <c r="R24" s="1"/>
      <c r="S24" s="1"/>
      <c r="T24" s="1"/>
    </row>
    <row r="25" spans="1:20" ht="14" x14ac:dyDescent="0.15">
      <c r="A25" s="2">
        <v>613003</v>
      </c>
      <c r="B25" s="2" t="s">
        <v>52</v>
      </c>
      <c r="C25" s="21"/>
      <c r="D25" s="2">
        <v>613003</v>
      </c>
      <c r="E25" s="2" t="s">
        <v>52</v>
      </c>
      <c r="F25" s="21"/>
      <c r="G25" s="88" t="s">
        <v>198</v>
      </c>
      <c r="H25" s="102"/>
      <c r="I25" s="2">
        <v>613003</v>
      </c>
      <c r="J25" s="2" t="s">
        <v>52</v>
      </c>
      <c r="K25" s="6"/>
      <c r="L25" s="6"/>
      <c r="M25" s="97"/>
      <c r="N25" s="6"/>
      <c r="O25" s="97">
        <v>79.5</v>
      </c>
      <c r="P25" s="6"/>
      <c r="Q25" s="6"/>
      <c r="R25" s="1"/>
      <c r="S25" s="1"/>
      <c r="T25" s="1"/>
    </row>
    <row r="26" spans="1:20" ht="14" x14ac:dyDescent="0.15">
      <c r="A26" s="2">
        <v>613004</v>
      </c>
      <c r="B26" s="2" t="s">
        <v>10</v>
      </c>
      <c r="C26" s="21">
        <v>133.58000000000001</v>
      </c>
      <c r="D26" s="2">
        <v>613004</v>
      </c>
      <c r="E26" s="2" t="s">
        <v>10</v>
      </c>
      <c r="F26" s="21">
        <v>133.58000000000001</v>
      </c>
      <c r="G26" s="88" t="s">
        <v>199</v>
      </c>
      <c r="H26" s="84"/>
      <c r="I26" s="2">
        <v>613004</v>
      </c>
      <c r="J26" s="2" t="s">
        <v>10</v>
      </c>
      <c r="K26" s="6">
        <f>'BASIS HISTORISCHE CIJFERS'!$B$23</f>
        <v>151.73333333333335</v>
      </c>
      <c r="L26" s="6">
        <f t="shared" ref="L26:L28" si="8">+ROUND(+K26+(K26*$H26),2)</f>
        <v>151.72999999999999</v>
      </c>
      <c r="M26" s="97">
        <v>293.38</v>
      </c>
      <c r="N26" s="6">
        <f>+ROUND(+L26+(L26*$H26),2)</f>
        <v>151.72999999999999</v>
      </c>
      <c r="O26" s="97">
        <v>157.41999999999999</v>
      </c>
      <c r="P26" s="6">
        <f>+ROUND(+N26+(N26*$H26),2)</f>
        <v>151.72999999999999</v>
      </c>
      <c r="Q26" s="6">
        <f>+ROUND(+N26+(N26*$H26),2)</f>
        <v>151.72999999999999</v>
      </c>
      <c r="R26" s="1"/>
      <c r="S26" s="1"/>
      <c r="T26" s="1"/>
    </row>
    <row r="27" spans="1:20" ht="14" x14ac:dyDescent="0.15">
      <c r="A27" s="2">
        <v>613005</v>
      </c>
      <c r="B27" s="2" t="s">
        <v>233</v>
      </c>
      <c r="C27" s="21"/>
      <c r="E27" s="2" t="s">
        <v>233</v>
      </c>
      <c r="F27" s="21"/>
      <c r="G27" s="88"/>
      <c r="H27" s="84"/>
      <c r="I27" s="2"/>
      <c r="J27" s="2" t="s">
        <v>233</v>
      </c>
      <c r="K27" s="6"/>
      <c r="L27" s="6"/>
      <c r="M27" s="97">
        <v>751.41</v>
      </c>
      <c r="N27" s="6"/>
      <c r="O27" s="97"/>
      <c r="P27" s="6"/>
      <c r="Q27" s="6"/>
      <c r="R27" s="1"/>
      <c r="S27" s="1"/>
      <c r="T27" s="1"/>
    </row>
    <row r="28" spans="1:20" ht="14" x14ac:dyDescent="0.15">
      <c r="A28" s="2">
        <v>613006</v>
      </c>
      <c r="B28" s="2" t="s">
        <v>69</v>
      </c>
      <c r="C28" s="25"/>
      <c r="D28" s="2">
        <v>613006</v>
      </c>
      <c r="E28" s="2" t="s">
        <v>69</v>
      </c>
      <c r="F28" s="25"/>
      <c r="G28" s="88" t="s">
        <v>199</v>
      </c>
      <c r="H28" s="84"/>
      <c r="I28" s="2">
        <v>613006</v>
      </c>
      <c r="J28" s="2" t="s">
        <v>69</v>
      </c>
      <c r="K28" s="6">
        <f>'BASIS HISTORISCHE CIJFERS'!$A$24</f>
        <v>3135.1499999999996</v>
      </c>
      <c r="L28" s="6">
        <f t="shared" si="8"/>
        <v>3135.15</v>
      </c>
      <c r="M28" s="97"/>
      <c r="N28" s="6">
        <f>+ROUND(+L28+(L28*$H28),2)</f>
        <v>3135.15</v>
      </c>
      <c r="O28" s="97"/>
      <c r="P28" s="6">
        <v>1500</v>
      </c>
      <c r="Q28" s="6">
        <v>1500</v>
      </c>
      <c r="R28" s="1"/>
      <c r="S28" s="1"/>
      <c r="T28" s="1"/>
    </row>
    <row r="29" spans="1:20" ht="14" x14ac:dyDescent="0.15">
      <c r="A29" s="1"/>
      <c r="B29" s="1"/>
      <c r="C29" s="78"/>
      <c r="D29" s="1"/>
      <c r="E29" s="1"/>
      <c r="F29" s="78"/>
      <c r="G29" s="88"/>
      <c r="H29" s="84"/>
      <c r="I29" s="2"/>
      <c r="J29" s="2"/>
      <c r="K29" s="6"/>
      <c r="L29" s="6"/>
      <c r="M29" s="97"/>
      <c r="N29" s="6"/>
      <c r="O29" s="97"/>
      <c r="P29" s="6"/>
      <c r="Q29" s="6"/>
      <c r="R29" s="1"/>
      <c r="S29" s="1"/>
      <c r="T29" s="1"/>
    </row>
    <row r="30" spans="1:20" ht="14" x14ac:dyDescent="0.15">
      <c r="A30" s="2">
        <v>614000</v>
      </c>
      <c r="B30" s="2" t="s">
        <v>11</v>
      </c>
      <c r="C30" s="21">
        <v>2993.35</v>
      </c>
      <c r="D30" s="2">
        <v>614000</v>
      </c>
      <c r="E30" s="2" t="s">
        <v>11</v>
      </c>
      <c r="F30" s="21">
        <v>2156.11</v>
      </c>
      <c r="G30" s="88" t="s">
        <v>199</v>
      </c>
      <c r="H30" s="85">
        <v>2.5000000000000001E-2</v>
      </c>
      <c r="I30" s="2">
        <v>614000</v>
      </c>
      <c r="J30" s="2" t="s">
        <v>11</v>
      </c>
      <c r="K30" s="6">
        <f>'BASIS HISTORISCHE CIJFERS'!B25</f>
        <v>1905.9016666666666</v>
      </c>
      <c r="L30" s="6">
        <f t="shared" ref="L30:L31" si="9">+ROUND(+K30+(K30*$H30),2)</f>
        <v>1953.55</v>
      </c>
      <c r="M30" s="97">
        <v>1599.94</v>
      </c>
      <c r="N30" s="6">
        <f>+ROUND(+L30+(L30*$H30),2)</f>
        <v>2002.39</v>
      </c>
      <c r="O30" s="97">
        <v>1633.1</v>
      </c>
      <c r="P30" s="6">
        <f>+ROUND(+N30+(N30*$H30),2)</f>
        <v>2052.4499999999998</v>
      </c>
      <c r="Q30" s="6">
        <f>+ROUND(+N30+(N30*$H30),2)</f>
        <v>2052.4499999999998</v>
      </c>
      <c r="R30" s="1"/>
      <c r="S30" s="1"/>
      <c r="T30" s="1"/>
    </row>
    <row r="31" spans="1:20" ht="14" x14ac:dyDescent="0.15">
      <c r="A31" s="2">
        <v>614010</v>
      </c>
      <c r="B31" s="2" t="s">
        <v>12</v>
      </c>
      <c r="C31" s="21">
        <v>140.85</v>
      </c>
      <c r="D31" s="2">
        <v>614010</v>
      </c>
      <c r="E31" s="2" t="s">
        <v>12</v>
      </c>
      <c r="F31" s="21">
        <v>489.63</v>
      </c>
      <c r="G31" s="88" t="s">
        <v>199</v>
      </c>
      <c r="H31" s="84"/>
      <c r="I31" s="2">
        <v>614010</v>
      </c>
      <c r="J31" s="2" t="s">
        <v>12</v>
      </c>
      <c r="K31" s="6">
        <f>'BASIS HISTORISCHE CIJFERS'!B26</f>
        <v>1428.635</v>
      </c>
      <c r="L31" s="6">
        <f t="shared" si="9"/>
        <v>1428.64</v>
      </c>
      <c r="M31" s="97">
        <v>467.23</v>
      </c>
      <c r="N31" s="6">
        <f>+ROUND(+L31+(L31*$H31),2)</f>
        <v>1428.64</v>
      </c>
      <c r="O31" s="97">
        <v>913.25</v>
      </c>
      <c r="P31" s="6">
        <f>+ROUND(+N31+(N31*$H31),2)</f>
        <v>1428.64</v>
      </c>
      <c r="Q31" s="6">
        <f>+ROUND(+N31+(N31*$H31),2)</f>
        <v>1428.64</v>
      </c>
      <c r="R31" s="1"/>
      <c r="S31" s="1"/>
      <c r="T31" s="1"/>
    </row>
    <row r="32" spans="1:20" ht="14" x14ac:dyDescent="0.15">
      <c r="A32" s="1"/>
      <c r="B32" s="1"/>
      <c r="C32" s="1"/>
      <c r="D32" s="1"/>
      <c r="E32" s="1"/>
      <c r="G32" s="88"/>
      <c r="H32" s="84"/>
      <c r="I32" s="2"/>
      <c r="J32" s="2"/>
      <c r="K32" s="6"/>
      <c r="L32" s="6"/>
      <c r="M32" s="97"/>
      <c r="N32" s="6"/>
      <c r="O32" s="97"/>
      <c r="P32" s="6"/>
      <c r="Q32" s="6"/>
      <c r="R32" s="1"/>
      <c r="S32" s="1"/>
      <c r="T32" s="1"/>
    </row>
    <row r="33" spans="1:20" ht="14" x14ac:dyDescent="0.15">
      <c r="A33" s="1"/>
      <c r="B33" s="1"/>
      <c r="C33" s="1"/>
      <c r="D33" s="1"/>
      <c r="E33" s="1"/>
      <c r="G33" s="88"/>
      <c r="H33" s="84"/>
      <c r="I33" s="94" t="s">
        <v>208</v>
      </c>
      <c r="J33" s="122" t="s">
        <v>200</v>
      </c>
      <c r="K33" s="123">
        <f>3588/12*4*1.21</f>
        <v>1447.1599999999999</v>
      </c>
      <c r="L33" s="123">
        <f t="shared" ref="L33:Q33" si="10">3588*1.21</f>
        <v>4341.4799999999996</v>
      </c>
      <c r="M33" s="97">
        <f>14856.28-3714.08</f>
        <v>11142.2</v>
      </c>
      <c r="N33" s="123">
        <f t="shared" si="10"/>
        <v>4341.4799999999996</v>
      </c>
      <c r="O33" s="97"/>
      <c r="P33" s="123">
        <f t="shared" si="10"/>
        <v>4341.4799999999996</v>
      </c>
      <c r="Q33" s="123">
        <f t="shared" si="10"/>
        <v>4341.4799999999996</v>
      </c>
      <c r="R33" s="1"/>
      <c r="S33" s="1"/>
      <c r="T33" s="1"/>
    </row>
    <row r="34" spans="1:20" ht="14" x14ac:dyDescent="0.15">
      <c r="A34" s="1"/>
      <c r="B34" s="1"/>
      <c r="C34" s="1"/>
      <c r="D34" s="1"/>
      <c r="E34" s="1"/>
      <c r="G34" s="88"/>
      <c r="H34" s="84"/>
      <c r="I34" s="94" t="s">
        <v>208</v>
      </c>
      <c r="J34" s="122" t="s">
        <v>201</v>
      </c>
      <c r="K34" s="123">
        <f>7.44*200*1.21</f>
        <v>1800.48</v>
      </c>
      <c r="L34" s="123">
        <f>7.44*400*1.21</f>
        <v>3600.96</v>
      </c>
      <c r="M34" s="97"/>
      <c r="N34" s="123">
        <f>7.44*1300*1.21</f>
        <v>11703.119999999999</v>
      </c>
      <c r="O34" s="97">
        <f>3714.08+14325.14-3714.08</f>
        <v>14325.140000000001</v>
      </c>
      <c r="P34" s="123">
        <f>7.44*1300*1.21</f>
        <v>11703.119999999999</v>
      </c>
      <c r="Q34" s="123">
        <f>7.44*1300*1.21</f>
        <v>11703.119999999999</v>
      </c>
      <c r="R34" s="1"/>
      <c r="S34" s="1"/>
      <c r="T34" s="1"/>
    </row>
    <row r="35" spans="1:20" ht="14" x14ac:dyDescent="0.15">
      <c r="A35" s="1"/>
      <c r="B35" s="1"/>
      <c r="C35" s="1"/>
      <c r="D35" s="1"/>
      <c r="E35" s="1"/>
      <c r="G35" s="88"/>
      <c r="H35" s="84"/>
      <c r="I35" s="2"/>
      <c r="J35" s="2"/>
      <c r="K35" s="6"/>
      <c r="L35" s="6"/>
      <c r="M35" s="97"/>
      <c r="N35" s="6"/>
      <c r="O35" s="97"/>
      <c r="P35" s="6"/>
      <c r="Q35" s="6"/>
      <c r="R35" s="1"/>
      <c r="S35" s="1"/>
      <c r="T35" s="1"/>
    </row>
    <row r="36" spans="1:20" ht="14" x14ac:dyDescent="0.15">
      <c r="A36" s="2">
        <v>615000</v>
      </c>
      <c r="B36" s="2" t="s">
        <v>13</v>
      </c>
      <c r="C36" s="21">
        <v>1235.1300000000001</v>
      </c>
      <c r="D36" s="2">
        <v>615000</v>
      </c>
      <c r="E36" s="2" t="s">
        <v>13</v>
      </c>
      <c r="F36" s="25"/>
      <c r="G36" s="88" t="s">
        <v>199</v>
      </c>
      <c r="H36" s="84"/>
      <c r="I36" s="2">
        <v>615000</v>
      </c>
      <c r="J36" s="2" t="s">
        <v>13</v>
      </c>
      <c r="K36" s="6">
        <f>'BASIS HISTORISCHE CIJFERS'!$B$27</f>
        <v>396.43</v>
      </c>
      <c r="L36" s="6">
        <f t="shared" ref="L36:L42" si="11">+ROUND(+K36+(K36*$H36),2)</f>
        <v>396.43</v>
      </c>
      <c r="M36" s="97">
        <v>0</v>
      </c>
      <c r="N36" s="6">
        <f t="shared" ref="N36:N42" si="12">+ROUND(+L36+(L36*$H36),2)</f>
        <v>396.43</v>
      </c>
      <c r="O36" s="97">
        <v>37.61</v>
      </c>
      <c r="P36" s="6">
        <f t="shared" ref="P36:P39" si="13">+ROUND(+N36+(N36*$H36),2)</f>
        <v>396.43</v>
      </c>
      <c r="Q36" s="6">
        <f>+ROUND(+N36+(N36*$H36),2)</f>
        <v>396.43</v>
      </c>
      <c r="R36" s="1"/>
      <c r="S36" s="1"/>
      <c r="T36" s="1"/>
    </row>
    <row r="37" spans="1:20" ht="14" x14ac:dyDescent="0.15">
      <c r="A37" s="2">
        <v>615005</v>
      </c>
      <c r="B37" s="2" t="s">
        <v>70</v>
      </c>
      <c r="C37" s="25"/>
      <c r="D37" s="2">
        <v>615005</v>
      </c>
      <c r="E37" s="2" t="s">
        <v>70</v>
      </c>
      <c r="F37" s="25"/>
      <c r="G37" s="88" t="s">
        <v>199</v>
      </c>
      <c r="H37" s="84"/>
      <c r="I37" s="2">
        <v>615005</v>
      </c>
      <c r="J37" s="2" t="s">
        <v>70</v>
      </c>
      <c r="K37" s="6">
        <f>'BASIS HISTORISCHE CIJFERS'!$B$28</f>
        <v>1692.6499999999999</v>
      </c>
      <c r="L37" s="6">
        <f t="shared" si="11"/>
        <v>1692.65</v>
      </c>
      <c r="M37" s="97">
        <v>0</v>
      </c>
      <c r="N37" s="6">
        <f t="shared" si="12"/>
        <v>1692.65</v>
      </c>
      <c r="O37" s="97"/>
      <c r="P37" s="6">
        <v>0</v>
      </c>
      <c r="Q37" s="6">
        <v>0</v>
      </c>
      <c r="R37" s="1"/>
      <c r="S37" s="1"/>
      <c r="T37" s="1"/>
    </row>
    <row r="38" spans="1:20" ht="14" x14ac:dyDescent="0.15">
      <c r="A38" s="2">
        <v>615006</v>
      </c>
      <c r="B38" s="2" t="s">
        <v>53</v>
      </c>
      <c r="C38" s="25"/>
      <c r="D38" s="2">
        <v>615006</v>
      </c>
      <c r="E38" s="2" t="s">
        <v>53</v>
      </c>
      <c r="F38" s="21">
        <v>745</v>
      </c>
      <c r="G38" s="88" t="s">
        <v>199</v>
      </c>
      <c r="H38" s="84"/>
      <c r="I38" s="2">
        <v>615006</v>
      </c>
      <c r="J38" s="2" t="s">
        <v>53</v>
      </c>
      <c r="K38" s="6">
        <f>'BASIS HISTORISCHE CIJFERS'!B29</f>
        <v>252.71666666666667</v>
      </c>
      <c r="L38" s="6">
        <f t="shared" si="11"/>
        <v>252.72</v>
      </c>
      <c r="M38" s="97">
        <v>584.39</v>
      </c>
      <c r="N38" s="6">
        <f t="shared" si="12"/>
        <v>252.72</v>
      </c>
      <c r="O38" s="97"/>
      <c r="P38" s="6">
        <f t="shared" si="13"/>
        <v>252.72</v>
      </c>
      <c r="Q38" s="6">
        <f>+ROUND(+N38+(N38*$H38),2)</f>
        <v>252.72</v>
      </c>
      <c r="R38" s="1"/>
      <c r="S38" s="1"/>
      <c r="T38" s="1"/>
    </row>
    <row r="39" spans="1:20" ht="14" x14ac:dyDescent="0.15">
      <c r="A39" s="2">
        <v>615007</v>
      </c>
      <c r="B39" s="2" t="s">
        <v>14</v>
      </c>
      <c r="C39" s="21">
        <v>177.37</v>
      </c>
      <c r="D39" s="2">
        <v>615007</v>
      </c>
      <c r="E39" s="2" t="s">
        <v>14</v>
      </c>
      <c r="F39" s="21">
        <v>620.6</v>
      </c>
      <c r="G39" s="88" t="s">
        <v>199</v>
      </c>
      <c r="H39" s="84"/>
      <c r="I39" s="2">
        <v>615007</v>
      </c>
      <c r="J39" s="2" t="s">
        <v>14</v>
      </c>
      <c r="K39" s="6">
        <f>'BASIS HISTORISCHE CIJFERS'!B30</f>
        <v>210.89166666666665</v>
      </c>
      <c r="L39" s="6">
        <f t="shared" si="11"/>
        <v>210.89</v>
      </c>
      <c r="M39" s="97">
        <v>183</v>
      </c>
      <c r="N39" s="6">
        <f t="shared" si="12"/>
        <v>210.89</v>
      </c>
      <c r="O39" s="97">
        <v>146.5</v>
      </c>
      <c r="P39" s="6">
        <f t="shared" si="13"/>
        <v>210.89</v>
      </c>
      <c r="Q39" s="6">
        <f>+ROUND(+N39+(N39*$H39),2)</f>
        <v>210.89</v>
      </c>
      <c r="R39" s="1"/>
      <c r="S39" s="1"/>
      <c r="T39" s="1"/>
    </row>
    <row r="40" spans="1:20" ht="14" x14ac:dyDescent="0.15">
      <c r="A40" s="2">
        <v>615008</v>
      </c>
      <c r="B40" s="2" t="s">
        <v>15</v>
      </c>
      <c r="C40" s="21">
        <v>3500</v>
      </c>
      <c r="D40" s="2">
        <v>615008</v>
      </c>
      <c r="E40" s="2" t="s">
        <v>15</v>
      </c>
      <c r="F40" s="21">
        <v>4500</v>
      </c>
      <c r="G40" s="88" t="s">
        <v>213</v>
      </c>
      <c r="H40" s="84"/>
      <c r="I40" s="2">
        <v>615008</v>
      </c>
      <c r="J40" s="2" t="s">
        <v>15</v>
      </c>
      <c r="K40" s="6">
        <v>3500</v>
      </c>
      <c r="L40" s="6">
        <f t="shared" si="11"/>
        <v>3500</v>
      </c>
      <c r="M40" s="97">
        <f>1500+1250</f>
        <v>2750</v>
      </c>
      <c r="N40" s="6">
        <f t="shared" si="12"/>
        <v>3500</v>
      </c>
      <c r="O40" s="97">
        <v>3500</v>
      </c>
      <c r="P40" s="6">
        <v>4200</v>
      </c>
      <c r="Q40" s="6">
        <v>4200</v>
      </c>
      <c r="R40" s="1"/>
      <c r="S40" s="1"/>
      <c r="T40" s="1"/>
    </row>
    <row r="41" spans="1:20" ht="14" x14ac:dyDescent="0.15">
      <c r="A41" s="2">
        <v>615009</v>
      </c>
      <c r="B41" s="2" t="s">
        <v>16</v>
      </c>
      <c r="C41" s="21">
        <v>23870</v>
      </c>
      <c r="D41" s="2">
        <v>615009</v>
      </c>
      <c r="E41" s="2" t="s">
        <v>16</v>
      </c>
      <c r="F41" s="21">
        <v>14950</v>
      </c>
      <c r="G41" s="88" t="s">
        <v>213</v>
      </c>
      <c r="H41" s="84"/>
      <c r="I41" s="2">
        <v>615009</v>
      </c>
      <c r="J41" s="2" t="s">
        <v>16</v>
      </c>
      <c r="K41" s="6">
        <f>'BASIS HISTORISCHE CIJFERS'!$G$32</f>
        <v>23870</v>
      </c>
      <c r="L41" s="6">
        <v>21000</v>
      </c>
      <c r="M41" s="97">
        <v>4950</v>
      </c>
      <c r="N41" s="6">
        <f t="shared" si="12"/>
        <v>21000</v>
      </c>
      <c r="O41" s="97">
        <v>1235</v>
      </c>
      <c r="P41" s="6">
        <v>0</v>
      </c>
      <c r="Q41" s="6">
        <v>0</v>
      </c>
      <c r="R41" s="1"/>
      <c r="S41" s="1"/>
      <c r="T41" s="1"/>
    </row>
    <row r="42" spans="1:20" ht="14" x14ac:dyDescent="0.15">
      <c r="A42" s="2">
        <v>615010</v>
      </c>
      <c r="B42" s="2" t="s">
        <v>17</v>
      </c>
      <c r="C42" s="21">
        <v>7629.54</v>
      </c>
      <c r="D42" s="2">
        <v>615010</v>
      </c>
      <c r="E42" s="2" t="s">
        <v>17</v>
      </c>
      <c r="F42" s="25"/>
      <c r="G42" s="88" t="s">
        <v>213</v>
      </c>
      <c r="H42" s="81"/>
      <c r="I42" s="2">
        <v>615010</v>
      </c>
      <c r="J42" s="2" t="s">
        <v>17</v>
      </c>
      <c r="K42" s="6">
        <v>5000</v>
      </c>
      <c r="L42" s="6">
        <f t="shared" si="11"/>
        <v>5000</v>
      </c>
      <c r="M42" s="97"/>
      <c r="N42" s="6">
        <f t="shared" si="12"/>
        <v>5000</v>
      </c>
      <c r="O42" s="97">
        <v>56.31</v>
      </c>
      <c r="P42" s="6">
        <v>0</v>
      </c>
      <c r="Q42" s="6">
        <v>0</v>
      </c>
      <c r="R42" s="1"/>
      <c r="S42" s="1"/>
      <c r="T42" s="1"/>
    </row>
    <row r="43" spans="1:20" ht="14" x14ac:dyDescent="0.15">
      <c r="A43" s="2">
        <v>615012</v>
      </c>
      <c r="B43" s="2" t="s">
        <v>18</v>
      </c>
      <c r="C43" s="21"/>
      <c r="E43" s="2" t="s">
        <v>18</v>
      </c>
      <c r="F43" s="25"/>
      <c r="G43" s="88"/>
      <c r="H43" s="81"/>
      <c r="I43" s="2"/>
      <c r="J43" s="2" t="s">
        <v>18</v>
      </c>
      <c r="K43" s="6"/>
      <c r="L43" s="6"/>
      <c r="M43" s="97"/>
      <c r="N43" s="6"/>
      <c r="O43" s="97">
        <v>7668.73</v>
      </c>
      <c r="P43" s="6"/>
      <c r="Q43" s="6">
        <v>0</v>
      </c>
      <c r="R43" s="1"/>
      <c r="S43" s="1"/>
      <c r="T43" s="1"/>
    </row>
    <row r="44" spans="1:20" ht="14" x14ac:dyDescent="0.15">
      <c r="A44" s="2">
        <v>615017</v>
      </c>
      <c r="B44" s="2" t="s">
        <v>232</v>
      </c>
      <c r="C44" s="21"/>
      <c r="E44" s="2" t="s">
        <v>232</v>
      </c>
      <c r="F44" s="25"/>
      <c r="G44" s="88"/>
      <c r="H44" s="81"/>
      <c r="I44" s="2"/>
      <c r="J44" s="2" t="s">
        <v>232</v>
      </c>
      <c r="K44" s="6"/>
      <c r="L44" s="6">
        <v>25000</v>
      </c>
      <c r="M44" s="97">
        <v>24224.54</v>
      </c>
      <c r="N44" s="6"/>
      <c r="O44" s="97"/>
      <c r="P44" s="6"/>
      <c r="Q44" s="6"/>
      <c r="R44" s="1"/>
      <c r="S44" s="1"/>
      <c r="T44" s="1"/>
    </row>
    <row r="45" spans="1:20" ht="14" x14ac:dyDescent="0.15">
      <c r="A45" s="2">
        <v>615018</v>
      </c>
      <c r="B45" s="2" t="s">
        <v>231</v>
      </c>
      <c r="C45" s="21"/>
      <c r="E45" s="2" t="s">
        <v>231</v>
      </c>
      <c r="F45" s="25"/>
      <c r="G45" s="88"/>
      <c r="H45" s="81"/>
      <c r="I45" s="2"/>
      <c r="J45" s="2" t="s">
        <v>231</v>
      </c>
      <c r="K45" s="6"/>
      <c r="L45" s="6"/>
      <c r="M45" s="97">
        <v>42944.71</v>
      </c>
      <c r="N45" s="6"/>
      <c r="O45" s="97"/>
      <c r="P45" s="6"/>
      <c r="Q45" s="6"/>
      <c r="R45" s="1"/>
      <c r="S45" s="1"/>
      <c r="T45" s="1"/>
    </row>
    <row r="46" spans="1:20" ht="14" x14ac:dyDescent="0.15">
      <c r="A46" s="2" t="s">
        <v>220</v>
      </c>
      <c r="B46" s="2" t="s">
        <v>219</v>
      </c>
      <c r="C46" s="21"/>
      <c r="E46" s="2" t="s">
        <v>219</v>
      </c>
      <c r="F46" s="25"/>
      <c r="G46" s="88" t="s">
        <v>213</v>
      </c>
      <c r="H46" s="81"/>
      <c r="I46" s="2"/>
      <c r="J46" s="2" t="s">
        <v>219</v>
      </c>
      <c r="K46" s="6"/>
      <c r="L46" s="6">
        <v>500</v>
      </c>
      <c r="M46" s="97">
        <v>0</v>
      </c>
      <c r="N46" s="6">
        <f t="shared" ref="N46" si="14">+ROUND(+L46+(L46*$H46),2)</f>
        <v>500</v>
      </c>
      <c r="O46" s="97"/>
      <c r="P46" s="6">
        <f t="shared" ref="P46" si="15">+ROUND(+N46+(N46*$H46),2)</f>
        <v>500</v>
      </c>
      <c r="Q46" s="6">
        <f>+ROUND(+N46+(N46*$H46),2)</f>
        <v>500</v>
      </c>
      <c r="R46" s="1"/>
      <c r="S46" s="1"/>
      <c r="T46" s="1"/>
    </row>
    <row r="47" spans="1:20" ht="14" x14ac:dyDescent="0.15">
      <c r="A47" s="2">
        <v>615012</v>
      </c>
      <c r="B47" s="2" t="s">
        <v>18</v>
      </c>
      <c r="C47" s="21">
        <v>1800</v>
      </c>
      <c r="D47" s="2">
        <v>615012</v>
      </c>
      <c r="E47" s="2" t="s">
        <v>218</v>
      </c>
      <c r="F47" s="25"/>
      <c r="G47" s="88" t="s">
        <v>213</v>
      </c>
      <c r="H47" s="81"/>
      <c r="I47" s="2">
        <v>615012</v>
      </c>
      <c r="J47" s="2" t="s">
        <v>218</v>
      </c>
      <c r="K47" s="6">
        <v>5000</v>
      </c>
      <c r="L47" s="6">
        <v>20000</v>
      </c>
      <c r="M47" s="97">
        <v>20715.98</v>
      </c>
      <c r="N47" s="6">
        <f>+ROUND(+L47+(L47*$H47),2)</f>
        <v>20000</v>
      </c>
      <c r="O47" s="97">
        <f>2550+5000</f>
        <v>7550</v>
      </c>
      <c r="P47" s="6">
        <f>+ROUND(+N47+(N47*$H47),2)</f>
        <v>20000</v>
      </c>
      <c r="Q47" s="6">
        <f>+ROUND(+N47+(N47*$H47),2)</f>
        <v>20000</v>
      </c>
      <c r="R47" s="1"/>
      <c r="S47" s="1"/>
      <c r="T47" s="1"/>
    </row>
    <row r="48" spans="1:20" ht="14" x14ac:dyDescent="0.15">
      <c r="A48" s="2">
        <v>615013</v>
      </c>
      <c r="B48" s="2" t="s">
        <v>71</v>
      </c>
      <c r="C48" s="25"/>
      <c r="D48" s="2">
        <v>615013</v>
      </c>
      <c r="E48" s="2" t="s">
        <v>71</v>
      </c>
      <c r="F48" s="25"/>
      <c r="G48" s="88" t="s">
        <v>199</v>
      </c>
      <c r="H48" s="81"/>
      <c r="I48" s="2">
        <v>615013</v>
      </c>
      <c r="J48" s="2" t="s">
        <v>71</v>
      </c>
      <c r="K48" s="6">
        <f>'BASIS HISTORISCHE CIJFERS'!B36</f>
        <v>7820.3083333333343</v>
      </c>
      <c r="L48" s="6">
        <f t="shared" ref="L48:L53" si="16">+ROUND(+K48+(K48*$H48),2)</f>
        <v>7820.31</v>
      </c>
      <c r="M48" s="97">
        <v>5425</v>
      </c>
      <c r="N48" s="6">
        <f>+ROUND(+L48+(L48*$H48),2)</f>
        <v>7820.31</v>
      </c>
      <c r="O48" s="97">
        <v>19353</v>
      </c>
      <c r="P48" s="6">
        <v>15000</v>
      </c>
      <c r="Q48" s="6">
        <v>15000</v>
      </c>
      <c r="R48" s="1"/>
      <c r="S48" s="1"/>
      <c r="T48" s="1"/>
    </row>
    <row r="49" spans="1:20" ht="14" x14ac:dyDescent="0.15">
      <c r="A49" s="2">
        <v>615014</v>
      </c>
      <c r="B49" s="2" t="s">
        <v>19</v>
      </c>
      <c r="C49" s="21">
        <v>13858.96</v>
      </c>
      <c r="D49" s="2">
        <v>615014</v>
      </c>
      <c r="E49" s="2" t="s">
        <v>19</v>
      </c>
      <c r="F49" s="21">
        <v>3203.38</v>
      </c>
      <c r="G49" s="88" t="s">
        <v>199</v>
      </c>
      <c r="H49" s="81"/>
      <c r="I49" s="2">
        <v>615014</v>
      </c>
      <c r="J49" s="2" t="s">
        <v>19</v>
      </c>
      <c r="K49" s="6">
        <f>'BASIS HISTORISCHE CIJFERS'!B37</f>
        <v>2843.7233333333334</v>
      </c>
      <c r="L49" s="6">
        <f t="shared" si="16"/>
        <v>2843.72</v>
      </c>
      <c r="M49" s="97">
        <v>0</v>
      </c>
      <c r="N49" s="6">
        <f>+ROUND(+L49+(L49*$H49),2)</f>
        <v>2843.72</v>
      </c>
      <c r="O49" s="97"/>
      <c r="P49" s="6">
        <v>0</v>
      </c>
      <c r="Q49" s="6">
        <v>0</v>
      </c>
      <c r="R49" s="1"/>
      <c r="S49" s="1"/>
      <c r="T49" s="1"/>
    </row>
    <row r="50" spans="1:20" ht="14" x14ac:dyDescent="0.15">
      <c r="A50" s="2">
        <v>615015</v>
      </c>
      <c r="B50" s="2" t="s">
        <v>20</v>
      </c>
      <c r="C50" s="25"/>
      <c r="D50" s="2">
        <v>615015</v>
      </c>
      <c r="E50" s="2" t="s">
        <v>20</v>
      </c>
      <c r="F50" s="21">
        <v>2122.25</v>
      </c>
      <c r="G50" s="88" t="s">
        <v>199</v>
      </c>
      <c r="H50" s="81"/>
      <c r="I50" s="2">
        <v>615015</v>
      </c>
      <c r="J50" s="2" t="s">
        <v>20</v>
      </c>
      <c r="K50" s="6">
        <f>'BASIS HISTORISCHE CIJFERS'!B38</f>
        <v>2092.6799999999998</v>
      </c>
      <c r="L50" s="6">
        <f t="shared" si="16"/>
        <v>2092.6799999999998</v>
      </c>
      <c r="M50" s="97">
        <v>1034.25</v>
      </c>
      <c r="N50" s="6">
        <f>+ROUND(+L50+(L50*$H50),2)</f>
        <v>2092.6799999999998</v>
      </c>
      <c r="O50" s="97"/>
      <c r="P50" s="6">
        <v>2000</v>
      </c>
      <c r="Q50" s="6">
        <v>2000</v>
      </c>
      <c r="R50" s="1"/>
      <c r="S50" s="1"/>
      <c r="T50" s="1"/>
    </row>
    <row r="51" spans="1:20" ht="14" x14ac:dyDescent="0.15">
      <c r="A51" s="2">
        <v>615016</v>
      </c>
      <c r="B51" s="2" t="s">
        <v>230</v>
      </c>
      <c r="C51" s="25"/>
      <c r="E51" s="2" t="s">
        <v>230</v>
      </c>
      <c r="F51" s="21"/>
      <c r="G51" s="88"/>
      <c r="H51" s="81"/>
      <c r="I51" s="2"/>
      <c r="J51" s="2"/>
      <c r="K51" s="6"/>
      <c r="L51" s="6"/>
      <c r="M51" s="97">
        <v>6050</v>
      </c>
      <c r="N51" s="6"/>
      <c r="O51" s="97"/>
      <c r="P51" s="6"/>
      <c r="Q51" s="6"/>
      <c r="R51" s="1"/>
      <c r="S51" s="1"/>
      <c r="T51" s="1"/>
    </row>
    <row r="52" spans="1:20" ht="14" x14ac:dyDescent="0.15">
      <c r="A52" s="2">
        <v>616000</v>
      </c>
      <c r="B52" s="2" t="s">
        <v>54</v>
      </c>
      <c r="C52" s="25"/>
      <c r="D52" s="2">
        <v>616000</v>
      </c>
      <c r="E52" s="2" t="s">
        <v>54</v>
      </c>
      <c r="F52" s="21">
        <v>651.28</v>
      </c>
      <c r="G52" s="88" t="s">
        <v>199</v>
      </c>
      <c r="H52" s="104">
        <v>2.5000000000000001E-2</v>
      </c>
      <c r="I52" s="2">
        <v>616000</v>
      </c>
      <c r="J52" s="2" t="s">
        <v>54</v>
      </c>
      <c r="K52" s="6">
        <f>'BASIS HISTORISCHE CIJFERS'!$B$39</f>
        <v>425.82499999999999</v>
      </c>
      <c r="L52" s="6">
        <f t="shared" si="16"/>
        <v>436.47</v>
      </c>
      <c r="M52" s="97">
        <v>806.63</v>
      </c>
      <c r="N52" s="6">
        <f>+ROUND(+L52+(L52*$H52),2)</f>
        <v>447.38</v>
      </c>
      <c r="O52" s="97">
        <v>836.47</v>
      </c>
      <c r="P52" s="6">
        <f>+ROUND(+O52+(O52*$H52),2)</f>
        <v>857.38</v>
      </c>
      <c r="Q52" s="6">
        <v>857.38</v>
      </c>
      <c r="R52" s="1"/>
      <c r="S52" s="1"/>
      <c r="T52" s="1"/>
    </row>
    <row r="53" spans="1:20" ht="14" x14ac:dyDescent="0.15">
      <c r="A53" s="2">
        <v>616001</v>
      </c>
      <c r="B53" s="2" t="s">
        <v>21</v>
      </c>
      <c r="C53" s="21">
        <v>54.17</v>
      </c>
      <c r="D53" s="2">
        <v>616001</v>
      </c>
      <c r="E53" s="2" t="s">
        <v>21</v>
      </c>
      <c r="F53" s="21">
        <v>992.57</v>
      </c>
      <c r="G53" s="86"/>
      <c r="H53" s="118">
        <v>2.5000000000000001E-2</v>
      </c>
      <c r="I53" s="2">
        <v>616001</v>
      </c>
      <c r="J53" s="2" t="s">
        <v>21</v>
      </c>
      <c r="K53" s="120">
        <f>'BASIS HISTORISCHE CIJFERS'!$B$40+'BASIS HISTORISCHE CIJFERS'!$B$41</f>
        <v>1227.1416666666669</v>
      </c>
      <c r="L53" s="120">
        <f t="shared" si="16"/>
        <v>1257.82</v>
      </c>
      <c r="M53" s="97">
        <f>54.17+938.4</f>
        <v>992.56999999999994</v>
      </c>
      <c r="N53" s="120">
        <f>+ROUND(+L53+(L53*$H53),2)</f>
        <v>1289.27</v>
      </c>
      <c r="O53" s="97">
        <v>54.17</v>
      </c>
      <c r="P53" s="120">
        <f>+ROUND(+O54+(O54*$H53),2)</f>
        <v>1242.3699999999999</v>
      </c>
      <c r="Q53" s="120">
        <f>+ROUND(+O54+(O54*$H53),2)</f>
        <v>1242.3699999999999</v>
      </c>
      <c r="R53" s="1"/>
      <c r="S53" s="1"/>
      <c r="T53" s="1"/>
    </row>
    <row r="54" spans="1:20" ht="14" x14ac:dyDescent="0.15">
      <c r="A54" s="2">
        <v>616002</v>
      </c>
      <c r="B54" s="2" t="s">
        <v>22</v>
      </c>
      <c r="C54" s="21">
        <v>1212.07</v>
      </c>
      <c r="D54" s="2">
        <v>616002</v>
      </c>
      <c r="E54" s="2" t="s">
        <v>22</v>
      </c>
      <c r="F54" s="21">
        <v>273.67</v>
      </c>
      <c r="G54" s="86"/>
      <c r="H54" s="119"/>
      <c r="I54" s="2">
        <v>616002</v>
      </c>
      <c r="J54" s="2" t="s">
        <v>22</v>
      </c>
      <c r="K54" s="121"/>
      <c r="L54" s="121"/>
      <c r="M54" s="97"/>
      <c r="N54" s="121"/>
      <c r="O54" s="97">
        <v>1212.07</v>
      </c>
      <c r="P54" s="121"/>
      <c r="Q54" s="121"/>
      <c r="R54" s="1"/>
      <c r="S54" s="1"/>
      <c r="T54" s="1"/>
    </row>
    <row r="55" spans="1:20" ht="14" x14ac:dyDescent="0.15">
      <c r="A55" s="1"/>
      <c r="B55" s="1"/>
      <c r="C55" s="78"/>
      <c r="D55" s="1"/>
      <c r="E55" s="1"/>
      <c r="F55" s="78"/>
      <c r="G55" s="86"/>
      <c r="H55" s="81"/>
      <c r="I55" s="2"/>
      <c r="J55" s="2"/>
      <c r="K55" s="6"/>
      <c r="L55" s="6"/>
      <c r="M55" s="97"/>
      <c r="N55" s="6"/>
      <c r="O55" s="97"/>
      <c r="P55" s="6"/>
      <c r="Q55" s="6"/>
      <c r="R55" s="1"/>
      <c r="S55" s="1"/>
      <c r="T55" s="1"/>
    </row>
    <row r="56" spans="1:20" ht="14" x14ac:dyDescent="0.15">
      <c r="A56" s="2">
        <v>617006</v>
      </c>
      <c r="B56" s="2" t="s">
        <v>23</v>
      </c>
      <c r="C56" s="21">
        <v>8524.65</v>
      </c>
      <c r="D56" s="2">
        <v>617006</v>
      </c>
      <c r="E56" s="2" t="s">
        <v>23</v>
      </c>
      <c r="F56" s="21">
        <v>6674.88</v>
      </c>
      <c r="G56" s="88" t="s">
        <v>213</v>
      </c>
      <c r="H56" s="104">
        <v>2.5000000000000001E-2</v>
      </c>
      <c r="I56" s="2">
        <v>617006</v>
      </c>
      <c r="J56" s="2" t="s">
        <v>23</v>
      </c>
      <c r="K56" s="6">
        <f>'BASIS HISTORISCHE CIJFERS'!B42</f>
        <v>10983.743333333334</v>
      </c>
      <c r="L56" s="6">
        <f t="shared" ref="L56:L64" si="17">+ROUND(+K56+(K56*$H56),2)</f>
        <v>11258.34</v>
      </c>
      <c r="M56" s="97">
        <v>10583.43</v>
      </c>
      <c r="N56" s="6">
        <f t="shared" ref="N56:N64" si="18">+ROUND(+L56+(L56*$H56),2)</f>
        <v>11539.8</v>
      </c>
      <c r="O56" s="97">
        <v>10213.02</v>
      </c>
      <c r="P56" s="6">
        <v>10000</v>
      </c>
      <c r="Q56" s="6">
        <v>10000</v>
      </c>
      <c r="R56" s="1"/>
      <c r="S56" s="1"/>
      <c r="T56" s="1"/>
    </row>
    <row r="57" spans="1:20" ht="14" x14ac:dyDescent="0.15">
      <c r="A57" s="2">
        <v>617007</v>
      </c>
      <c r="B57" s="2" t="s">
        <v>24</v>
      </c>
      <c r="C57" s="21">
        <v>2999.53</v>
      </c>
      <c r="D57" s="2">
        <v>617007</v>
      </c>
      <c r="E57" s="2" t="s">
        <v>24</v>
      </c>
      <c r="F57" s="21">
        <v>2805.81</v>
      </c>
      <c r="G57" s="88" t="s">
        <v>213</v>
      </c>
      <c r="H57" s="81"/>
      <c r="I57" s="2">
        <v>617007</v>
      </c>
      <c r="J57" s="2" t="s">
        <v>24</v>
      </c>
      <c r="K57" s="6">
        <f>'BASIS HISTORISCHE CIJFERS'!B43</f>
        <v>8207.8466666666664</v>
      </c>
      <c r="L57" s="6">
        <f t="shared" si="17"/>
        <v>8207.85</v>
      </c>
      <c r="M57" s="97">
        <v>6288.23</v>
      </c>
      <c r="N57" s="6">
        <f t="shared" si="18"/>
        <v>8207.85</v>
      </c>
      <c r="O57" s="97">
        <v>4585.2299999999996</v>
      </c>
      <c r="P57" s="6">
        <v>5000</v>
      </c>
      <c r="Q57" s="6">
        <v>5000</v>
      </c>
      <c r="R57" s="1"/>
      <c r="S57" s="1"/>
      <c r="T57" s="1"/>
    </row>
    <row r="58" spans="1:20" ht="14" x14ac:dyDescent="0.15">
      <c r="A58" s="2">
        <v>617008</v>
      </c>
      <c r="B58" s="2" t="s">
        <v>25</v>
      </c>
      <c r="C58" s="21">
        <v>13064.3</v>
      </c>
      <c r="D58" s="2">
        <v>617008</v>
      </c>
      <c r="E58" s="2" t="s">
        <v>25</v>
      </c>
      <c r="F58" s="21">
        <v>3219.75</v>
      </c>
      <c r="G58" s="88" t="s">
        <v>213</v>
      </c>
      <c r="H58" s="104">
        <v>2.5000000000000001E-2</v>
      </c>
      <c r="I58" s="2">
        <v>617008</v>
      </c>
      <c r="J58" s="2" t="s">
        <v>25</v>
      </c>
      <c r="K58" s="6">
        <f>'BASIS HISTORISCHE CIJFERS'!B44</f>
        <v>9212.7133333333331</v>
      </c>
      <c r="L58" s="6">
        <f t="shared" si="17"/>
        <v>9443.0300000000007</v>
      </c>
      <c r="M58" s="97">
        <v>12118</v>
      </c>
      <c r="N58" s="6">
        <f t="shared" si="18"/>
        <v>9679.11</v>
      </c>
      <c r="O58" s="97">
        <v>9885.7000000000007</v>
      </c>
      <c r="P58" s="6">
        <v>10000</v>
      </c>
      <c r="Q58" s="6">
        <v>10000</v>
      </c>
      <c r="R58" s="1"/>
      <c r="S58" s="1"/>
      <c r="T58" s="1"/>
    </row>
    <row r="59" spans="1:20" ht="14" x14ac:dyDescent="0.15">
      <c r="A59" s="2">
        <v>617009</v>
      </c>
      <c r="B59" s="2" t="s">
        <v>72</v>
      </c>
      <c r="C59" s="21"/>
      <c r="D59" s="2">
        <v>617009</v>
      </c>
      <c r="E59" s="2" t="s">
        <v>72</v>
      </c>
      <c r="F59" s="21"/>
      <c r="G59" s="88" t="s">
        <v>213</v>
      </c>
      <c r="H59" s="104">
        <v>2.5000000000000001E-2</v>
      </c>
      <c r="I59" s="2">
        <v>617009</v>
      </c>
      <c r="J59" s="2" t="s">
        <v>72</v>
      </c>
      <c r="K59" s="6">
        <f>'BASIS HISTORISCHE CIJFERS'!B45</f>
        <v>442.25166666666672</v>
      </c>
      <c r="L59" s="6">
        <f t="shared" si="17"/>
        <v>453.31</v>
      </c>
      <c r="M59" s="97">
        <v>520.80999999999995</v>
      </c>
      <c r="N59" s="6">
        <f t="shared" si="18"/>
        <v>464.64</v>
      </c>
      <c r="O59" s="97">
        <v>80</v>
      </c>
      <c r="P59" s="6">
        <f t="shared" ref="P59:P62" si="19">+ROUND(+O59+(O59*$H59),2)</f>
        <v>82</v>
      </c>
      <c r="Q59" s="6">
        <f>+ROUND(+O59+(O59*$H59),2)</f>
        <v>82</v>
      </c>
      <c r="R59" s="1"/>
      <c r="S59" s="1"/>
      <c r="T59" s="1"/>
    </row>
    <row r="60" spans="1:20" ht="14" x14ac:dyDescent="0.15">
      <c r="A60" s="2">
        <v>617010</v>
      </c>
      <c r="B60" s="2" t="s">
        <v>55</v>
      </c>
      <c r="C60" s="25"/>
      <c r="D60" s="2">
        <v>617010</v>
      </c>
      <c r="E60" s="2" t="s">
        <v>55</v>
      </c>
      <c r="F60" s="21">
        <v>4419</v>
      </c>
      <c r="G60" s="88" t="s">
        <v>213</v>
      </c>
      <c r="H60" s="104">
        <v>2.5000000000000001E-2</v>
      </c>
      <c r="I60" s="2">
        <v>617010</v>
      </c>
      <c r="J60" s="2" t="s">
        <v>55</v>
      </c>
      <c r="K60" s="6">
        <f>'BASIS HISTORISCHE CIJFERS'!B46</f>
        <v>3686.1066666666666</v>
      </c>
      <c r="L60" s="6">
        <f t="shared" si="17"/>
        <v>3778.26</v>
      </c>
      <c r="M60" s="97">
        <v>318</v>
      </c>
      <c r="N60" s="6">
        <f t="shared" si="18"/>
        <v>3872.72</v>
      </c>
      <c r="O60" s="97">
        <v>6751.59</v>
      </c>
      <c r="P60" s="6">
        <f t="shared" si="19"/>
        <v>6920.38</v>
      </c>
      <c r="Q60" s="6">
        <f>+ROUND(+O60+(O60*$H60),2)</f>
        <v>6920.38</v>
      </c>
      <c r="R60" s="1"/>
      <c r="S60" s="1"/>
      <c r="T60" s="1"/>
    </row>
    <row r="61" spans="1:20" ht="14" x14ac:dyDescent="0.15">
      <c r="A61" s="2">
        <v>617012</v>
      </c>
      <c r="B61" s="2" t="s">
        <v>242</v>
      </c>
      <c r="C61" s="25"/>
      <c r="E61" s="2" t="s">
        <v>242</v>
      </c>
      <c r="F61" s="21"/>
      <c r="G61" s="88"/>
      <c r="H61" s="81"/>
      <c r="I61" s="2"/>
      <c r="J61" s="2" t="s">
        <v>242</v>
      </c>
      <c r="K61" s="6"/>
      <c r="L61" s="6"/>
      <c r="M61" s="97"/>
      <c r="N61" s="6"/>
      <c r="O61" s="97">
        <v>2357</v>
      </c>
      <c r="P61" s="6"/>
      <c r="Q61" s="6"/>
      <c r="R61" s="1"/>
      <c r="S61" s="1"/>
      <c r="T61" s="1"/>
    </row>
    <row r="62" spans="1:20" ht="14" x14ac:dyDescent="0.15">
      <c r="A62" s="2">
        <v>617100</v>
      </c>
      <c r="B62" s="2" t="s">
        <v>26</v>
      </c>
      <c r="C62" s="21">
        <v>11329.28</v>
      </c>
      <c r="D62" s="2">
        <v>617100</v>
      </c>
      <c r="E62" s="2" t="s">
        <v>26</v>
      </c>
      <c r="F62" s="21">
        <v>12495.6</v>
      </c>
      <c r="G62" s="88" t="s">
        <v>213</v>
      </c>
      <c r="H62" s="104">
        <v>2.5000000000000001E-2</v>
      </c>
      <c r="I62" s="2">
        <v>617100</v>
      </c>
      <c r="J62" s="2" t="s">
        <v>26</v>
      </c>
      <c r="K62" s="6">
        <v>12750</v>
      </c>
      <c r="L62" s="6">
        <f t="shared" si="17"/>
        <v>13068.75</v>
      </c>
      <c r="M62" s="97">
        <f>16929.72-2750</f>
        <v>14179.720000000001</v>
      </c>
      <c r="N62" s="6">
        <f t="shared" si="18"/>
        <v>13395.47</v>
      </c>
      <c r="O62" s="97">
        <v>11864.54</v>
      </c>
      <c r="P62" s="6">
        <f t="shared" si="19"/>
        <v>12161.15</v>
      </c>
      <c r="Q62" s="6">
        <f>+ROUND(+O62+(O62*$H62),2)</f>
        <v>12161.15</v>
      </c>
      <c r="R62" s="1"/>
      <c r="S62" s="1"/>
      <c r="T62" s="1"/>
    </row>
    <row r="63" spans="1:20" ht="14" x14ac:dyDescent="0.15">
      <c r="A63" s="2">
        <v>617700</v>
      </c>
      <c r="B63" s="2" t="s">
        <v>235</v>
      </c>
      <c r="C63" s="25"/>
      <c r="D63" s="2">
        <v>617700</v>
      </c>
      <c r="E63" s="2" t="s">
        <v>235</v>
      </c>
      <c r="F63" s="25"/>
      <c r="G63" s="88" t="s">
        <v>199</v>
      </c>
      <c r="H63" s="81"/>
      <c r="I63" s="2">
        <v>617700</v>
      </c>
      <c r="J63" s="2" t="s">
        <v>235</v>
      </c>
      <c r="K63" s="6">
        <f>'BASIS HISTORISCHE CIJFERS'!B48</f>
        <v>127.34333333333332</v>
      </c>
      <c r="L63" s="6">
        <f t="shared" si="17"/>
        <v>127.34</v>
      </c>
      <c r="M63" s="97">
        <v>169</v>
      </c>
      <c r="N63" s="6">
        <f t="shared" si="18"/>
        <v>127.34</v>
      </c>
      <c r="O63" s="97">
        <v>165</v>
      </c>
      <c r="P63" s="6">
        <f>+ROUND(+N63+(N63*$H63),2)</f>
        <v>127.34</v>
      </c>
      <c r="Q63" s="6">
        <f>+ROUND(+N63+(N63*$H63),2)</f>
        <v>127.34</v>
      </c>
      <c r="R63" s="1"/>
      <c r="S63" s="1"/>
      <c r="T63" s="1"/>
    </row>
    <row r="64" spans="1:20" ht="14" x14ac:dyDescent="0.15">
      <c r="A64" s="2">
        <v>617800</v>
      </c>
      <c r="B64" s="2" t="s">
        <v>74</v>
      </c>
      <c r="C64" s="25"/>
      <c r="D64" s="2">
        <v>617800</v>
      </c>
      <c r="E64" s="2" t="s">
        <v>74</v>
      </c>
      <c r="F64" s="25"/>
      <c r="G64" s="88" t="s">
        <v>199</v>
      </c>
      <c r="H64" s="81"/>
      <c r="I64" s="2">
        <v>617800</v>
      </c>
      <c r="J64" s="2" t="s">
        <v>74</v>
      </c>
      <c r="K64" s="6">
        <f>'BASIS HISTORISCHE CIJFERS'!B49</f>
        <v>13.133333333333333</v>
      </c>
      <c r="L64" s="6">
        <f t="shared" si="17"/>
        <v>13.13</v>
      </c>
      <c r="M64" s="97">
        <v>0</v>
      </c>
      <c r="N64" s="6">
        <f t="shared" si="18"/>
        <v>13.13</v>
      </c>
      <c r="O64" s="97">
        <v>30.8</v>
      </c>
      <c r="P64" s="6">
        <f>+ROUND(+N64+(N64*$H64),2)</f>
        <v>13.13</v>
      </c>
      <c r="Q64" s="6">
        <f>+ROUND(+P64+(P64*$H64),2)</f>
        <v>13.13</v>
      </c>
      <c r="R64" s="1"/>
      <c r="S64" s="1"/>
      <c r="T64" s="1"/>
    </row>
    <row r="65" spans="1:20" ht="14" x14ac:dyDescent="0.15">
      <c r="A65" s="1"/>
      <c r="B65" s="1"/>
      <c r="C65" s="78"/>
      <c r="D65" s="1"/>
      <c r="E65" s="1"/>
      <c r="F65" s="78"/>
      <c r="G65" s="86"/>
      <c r="H65" s="81"/>
      <c r="K65" s="6"/>
      <c r="L65" s="6"/>
      <c r="M65" s="97"/>
      <c r="N65" s="6"/>
      <c r="O65" s="97"/>
      <c r="P65" s="6"/>
      <c r="Q65" s="6"/>
      <c r="R65" s="1"/>
      <c r="S65" s="1"/>
      <c r="T65" s="1"/>
    </row>
    <row r="66" spans="1:20" ht="14" x14ac:dyDescent="0.15">
      <c r="A66" s="2">
        <v>620200</v>
      </c>
      <c r="B66" s="2" t="s">
        <v>27</v>
      </c>
      <c r="C66" s="21">
        <v>21265.41</v>
      </c>
      <c r="D66" s="2">
        <v>620200</v>
      </c>
      <c r="E66" s="2" t="s">
        <v>27</v>
      </c>
      <c r="F66" s="21">
        <v>22482.44</v>
      </c>
      <c r="G66" s="88" t="s">
        <v>104</v>
      </c>
      <c r="H66" s="85">
        <v>2.5000000000000001E-2</v>
      </c>
      <c r="I66" s="2">
        <v>620200</v>
      </c>
      <c r="J66" s="2" t="s">
        <v>27</v>
      </c>
      <c r="K66" s="6">
        <f>LOON!D4</f>
        <v>22022.46</v>
      </c>
      <c r="L66" s="6">
        <f t="shared" ref="L66:L72" si="20">+ROUND(+K66+(K66*$H66),2)</f>
        <v>22573.02</v>
      </c>
      <c r="M66" s="97">
        <v>27718.51</v>
      </c>
      <c r="N66" s="6">
        <v>27718</v>
      </c>
      <c r="O66" s="97">
        <v>38665.43</v>
      </c>
      <c r="P66" s="6">
        <f>+ROUND(+O66+(O66*$H66),2)</f>
        <v>39632.07</v>
      </c>
      <c r="Q66" s="6">
        <f t="shared" ref="Q66:Q72" si="21">+ROUND(+O66+(O66*$H66),2)</f>
        <v>39632.07</v>
      </c>
      <c r="R66" s="1"/>
      <c r="S66" s="1"/>
      <c r="T66" s="1"/>
    </row>
    <row r="67" spans="1:20" ht="14" x14ac:dyDescent="0.15">
      <c r="A67" s="2">
        <v>620201</v>
      </c>
      <c r="B67" s="2" t="s">
        <v>28</v>
      </c>
      <c r="C67" s="21">
        <v>1622.09</v>
      </c>
      <c r="D67" s="2">
        <v>620201</v>
      </c>
      <c r="E67" s="2" t="s">
        <v>28</v>
      </c>
      <c r="F67" s="21">
        <v>1622.24</v>
      </c>
      <c r="G67" s="88" t="s">
        <v>104</v>
      </c>
      <c r="H67" s="85">
        <f>+H66</f>
        <v>2.5000000000000001E-2</v>
      </c>
      <c r="I67" s="2">
        <v>620201</v>
      </c>
      <c r="J67" s="2" t="s">
        <v>28</v>
      </c>
      <c r="K67" s="6">
        <f>LOON!D5</f>
        <v>1679.84</v>
      </c>
      <c r="L67" s="6">
        <f t="shared" si="20"/>
        <v>1721.84</v>
      </c>
      <c r="M67" s="97">
        <v>3690.97</v>
      </c>
      <c r="N67" s="6">
        <f t="shared" ref="N67:N72" si="22">+ROUND(+L67+(L67*$H67),2)</f>
        <v>1764.89</v>
      </c>
      <c r="O67" s="97">
        <v>3493.57</v>
      </c>
      <c r="P67" s="6">
        <f>+ROUND(+O67+(O67*$H67),2)</f>
        <v>3580.91</v>
      </c>
      <c r="Q67" s="6">
        <f t="shared" si="21"/>
        <v>3580.91</v>
      </c>
      <c r="R67" s="1"/>
      <c r="S67" s="1"/>
      <c r="T67" s="1"/>
    </row>
    <row r="68" spans="1:20" ht="14" x14ac:dyDescent="0.15">
      <c r="A68" s="2">
        <v>620210</v>
      </c>
      <c r="B68" s="2" t="s">
        <v>29</v>
      </c>
      <c r="C68" s="21">
        <v>758.4</v>
      </c>
      <c r="D68" s="2">
        <v>620210</v>
      </c>
      <c r="E68" s="2" t="s">
        <v>29</v>
      </c>
      <c r="F68" s="21">
        <v>786.53</v>
      </c>
      <c r="G68" s="88" t="s">
        <v>104</v>
      </c>
      <c r="H68" s="85">
        <f t="shared" ref="H68:H70" si="23">+H67</f>
        <v>2.5000000000000001E-2</v>
      </c>
      <c r="I68" s="2">
        <v>620210</v>
      </c>
      <c r="J68" s="2" t="s">
        <v>29</v>
      </c>
      <c r="K68" s="6">
        <f>LOON!D6</f>
        <v>785.4</v>
      </c>
      <c r="L68" s="6">
        <f t="shared" si="20"/>
        <v>805.04</v>
      </c>
      <c r="M68" s="97">
        <v>116.16</v>
      </c>
      <c r="N68" s="6">
        <f t="shared" si="22"/>
        <v>825.17</v>
      </c>
      <c r="O68" s="97">
        <v>525</v>
      </c>
      <c r="P68" s="6">
        <f t="shared" ref="P68:P74" si="24">+ROUND(+O68+(O68*$H68),2)</f>
        <v>538.13</v>
      </c>
      <c r="Q68" s="6">
        <f t="shared" si="21"/>
        <v>538.13</v>
      </c>
      <c r="R68" s="1"/>
      <c r="S68" s="1"/>
      <c r="T68" s="1"/>
    </row>
    <row r="69" spans="1:20" ht="14" x14ac:dyDescent="0.15">
      <c r="A69" s="2">
        <v>620211</v>
      </c>
      <c r="B69" s="2" t="s">
        <v>30</v>
      </c>
      <c r="C69" s="21">
        <v>174</v>
      </c>
      <c r="D69" s="2">
        <v>620211</v>
      </c>
      <c r="E69" s="2" t="s">
        <v>30</v>
      </c>
      <c r="F69" s="21">
        <v>137.69999999999999</v>
      </c>
      <c r="G69" s="88" t="s">
        <v>104</v>
      </c>
      <c r="H69" s="85">
        <f t="shared" si="23"/>
        <v>2.5000000000000001E-2</v>
      </c>
      <c r="I69" s="2">
        <v>620211</v>
      </c>
      <c r="J69" s="2" t="s">
        <v>30</v>
      </c>
      <c r="K69" s="6">
        <f>LOON!D7</f>
        <v>180.19</v>
      </c>
      <c r="L69" s="6">
        <f t="shared" si="20"/>
        <v>184.69</v>
      </c>
      <c r="M69" s="97">
        <v>108.9</v>
      </c>
      <c r="N69" s="6">
        <f t="shared" si="22"/>
        <v>189.31</v>
      </c>
      <c r="O69" s="97">
        <v>1654.6</v>
      </c>
      <c r="P69" s="6">
        <f t="shared" si="24"/>
        <v>1695.97</v>
      </c>
      <c r="Q69" s="6">
        <f t="shared" si="21"/>
        <v>1695.97</v>
      </c>
      <c r="R69" s="1"/>
      <c r="S69" s="1"/>
      <c r="T69" s="1"/>
    </row>
    <row r="70" spans="1:20" ht="14" x14ac:dyDescent="0.15">
      <c r="A70" s="2">
        <v>621200</v>
      </c>
      <c r="B70" s="2" t="s">
        <v>31</v>
      </c>
      <c r="C70" s="21">
        <v>6896.9</v>
      </c>
      <c r="D70" s="2">
        <v>621200</v>
      </c>
      <c r="E70" s="2" t="s">
        <v>31</v>
      </c>
      <c r="F70" s="21">
        <v>7348.76</v>
      </c>
      <c r="G70" s="88" t="s">
        <v>104</v>
      </c>
      <c r="H70" s="85">
        <f t="shared" si="23"/>
        <v>2.5000000000000001E-2</v>
      </c>
      <c r="I70" s="2">
        <v>621200</v>
      </c>
      <c r="J70" s="2" t="s">
        <v>31</v>
      </c>
      <c r="K70" s="6">
        <f>LOON!D8</f>
        <v>7142.43</v>
      </c>
      <c r="L70" s="6">
        <f t="shared" si="20"/>
        <v>7320.99</v>
      </c>
      <c r="M70" s="97">
        <v>7519.47</v>
      </c>
      <c r="N70" s="6">
        <f t="shared" si="22"/>
        <v>7504.01</v>
      </c>
      <c r="O70" s="97">
        <v>9781.9500000000007</v>
      </c>
      <c r="P70" s="6">
        <f>+ROUND(+O70+(O70*$H70),2)</f>
        <v>10026.5</v>
      </c>
      <c r="Q70" s="6">
        <f t="shared" si="21"/>
        <v>10026.5</v>
      </c>
      <c r="R70" s="1"/>
      <c r="S70" s="1"/>
      <c r="T70" s="1"/>
    </row>
    <row r="71" spans="1:20" ht="14" x14ac:dyDescent="0.15">
      <c r="A71" s="2">
        <v>623000</v>
      </c>
      <c r="B71" s="2" t="s">
        <v>32</v>
      </c>
      <c r="C71" s="21">
        <v>211.52</v>
      </c>
      <c r="D71" s="2">
        <v>623000</v>
      </c>
      <c r="E71" s="2" t="s">
        <v>32</v>
      </c>
      <c r="F71" s="21">
        <v>208.11</v>
      </c>
      <c r="G71" s="88" t="s">
        <v>104</v>
      </c>
      <c r="H71" s="85">
        <f>LOON!$E$2</f>
        <v>2.5000000000000001E-2</v>
      </c>
      <c r="I71" s="2">
        <v>623000</v>
      </c>
      <c r="J71" s="2" t="s">
        <v>32</v>
      </c>
      <c r="K71" s="6">
        <f>LOON!E9</f>
        <v>216.81</v>
      </c>
      <c r="L71" s="6">
        <f t="shared" si="20"/>
        <v>222.23</v>
      </c>
      <c r="M71" s="97">
        <v>509.72</v>
      </c>
      <c r="N71" s="6">
        <f t="shared" si="22"/>
        <v>227.79</v>
      </c>
      <c r="O71" s="97">
        <v>227.88</v>
      </c>
      <c r="P71" s="6">
        <f t="shared" si="24"/>
        <v>233.58</v>
      </c>
      <c r="Q71" s="6">
        <f t="shared" si="21"/>
        <v>233.58</v>
      </c>
      <c r="R71" s="1"/>
      <c r="S71" s="1"/>
      <c r="T71" s="1"/>
    </row>
    <row r="72" spans="1:20" ht="14" x14ac:dyDescent="0.15">
      <c r="A72" s="2">
        <v>623001</v>
      </c>
      <c r="B72" s="2" t="s">
        <v>33</v>
      </c>
      <c r="C72" s="21">
        <v>178.43</v>
      </c>
      <c r="D72" s="2">
        <v>623001</v>
      </c>
      <c r="E72" s="2" t="s">
        <v>33</v>
      </c>
      <c r="F72" s="21">
        <v>159.11000000000001</v>
      </c>
      <c r="G72" s="88" t="s">
        <v>104</v>
      </c>
      <c r="H72" s="85">
        <f>LOON!$E$2</f>
        <v>2.5000000000000001E-2</v>
      </c>
      <c r="I72" s="2">
        <v>623001</v>
      </c>
      <c r="J72" s="2" t="s">
        <v>33</v>
      </c>
      <c r="K72" s="6">
        <f>LOON!E10</f>
        <v>182.89</v>
      </c>
      <c r="L72" s="6">
        <f t="shared" si="20"/>
        <v>187.46</v>
      </c>
      <c r="M72" s="97">
        <v>29.43</v>
      </c>
      <c r="N72" s="6">
        <f t="shared" si="22"/>
        <v>192.15</v>
      </c>
      <c r="O72" s="97">
        <v>268.11</v>
      </c>
      <c r="P72" s="6">
        <f t="shared" si="24"/>
        <v>274.81</v>
      </c>
      <c r="Q72" s="6">
        <f t="shared" si="21"/>
        <v>274.81</v>
      </c>
      <c r="R72" s="1"/>
      <c r="S72" s="1"/>
      <c r="T72" s="1"/>
    </row>
    <row r="73" spans="1:20" ht="14" x14ac:dyDescent="0.15">
      <c r="A73" s="2">
        <v>623010</v>
      </c>
      <c r="B73" s="2" t="s">
        <v>34</v>
      </c>
      <c r="C73" s="21">
        <v>1800.24</v>
      </c>
      <c r="D73" s="2">
        <v>623010</v>
      </c>
      <c r="E73" s="2" t="s">
        <v>34</v>
      </c>
      <c r="F73" s="21">
        <v>1800.24</v>
      </c>
      <c r="G73" s="88" t="s">
        <v>104</v>
      </c>
      <c r="H73" s="84"/>
      <c r="I73" s="2">
        <v>623010</v>
      </c>
      <c r="J73" s="2" t="s">
        <v>34</v>
      </c>
      <c r="K73" s="6">
        <f>LOON!D12</f>
        <v>1800.24</v>
      </c>
      <c r="L73" s="6">
        <f>+K73</f>
        <v>1800.24</v>
      </c>
      <c r="M73" s="97">
        <v>1800.24</v>
      </c>
      <c r="N73" s="6">
        <f>+L73</f>
        <v>1800.24</v>
      </c>
      <c r="O73" s="97">
        <v>8012.85</v>
      </c>
      <c r="P73" s="6">
        <v>2500</v>
      </c>
      <c r="Q73" s="6">
        <v>2500</v>
      </c>
      <c r="R73" s="1"/>
      <c r="S73" s="1"/>
      <c r="T73" s="1"/>
    </row>
    <row r="74" spans="1:20" ht="14" x14ac:dyDescent="0.15">
      <c r="A74" s="2">
        <v>623100</v>
      </c>
      <c r="B74" s="2" t="s">
        <v>35</v>
      </c>
      <c r="C74" s="21">
        <v>3870.3</v>
      </c>
      <c r="D74" s="2">
        <v>623100</v>
      </c>
      <c r="E74" s="2" t="s">
        <v>35</v>
      </c>
      <c r="F74" s="21">
        <v>3831.44</v>
      </c>
      <c r="G74" s="88" t="s">
        <v>104</v>
      </c>
      <c r="H74" s="85">
        <f>+H66</f>
        <v>2.5000000000000001E-2</v>
      </c>
      <c r="I74" s="2">
        <v>623100</v>
      </c>
      <c r="J74" s="2" t="s">
        <v>35</v>
      </c>
      <c r="K74" s="6">
        <f>LOON!D13</f>
        <v>4008.08</v>
      </c>
      <c r="L74" s="6">
        <f t="shared" ref="L74:L76" si="25">+ROUND(+K74+(K74*$H74),2)</f>
        <v>4108.28</v>
      </c>
      <c r="M74" s="97">
        <v>4992.6099999999997</v>
      </c>
      <c r="N74" s="6">
        <f>+ROUND(+L74+(L74*$H74),2)</f>
        <v>4210.99</v>
      </c>
      <c r="O74" s="97">
        <v>6560.89</v>
      </c>
      <c r="P74" s="6">
        <f t="shared" si="24"/>
        <v>6724.91</v>
      </c>
      <c r="Q74" s="6">
        <f>+ROUND(+O74+(O74*$H74),2)</f>
        <v>6724.91</v>
      </c>
      <c r="R74" s="1"/>
      <c r="S74" s="1"/>
      <c r="T74" s="1"/>
    </row>
    <row r="75" spans="1:20" ht="14" x14ac:dyDescent="0.15">
      <c r="A75" s="2">
        <v>623101</v>
      </c>
      <c r="B75" s="2" t="s">
        <v>36</v>
      </c>
      <c r="C75" s="21">
        <v>-3831.44</v>
      </c>
      <c r="D75" s="2">
        <v>623101</v>
      </c>
      <c r="E75" s="2" t="s">
        <v>36</v>
      </c>
      <c r="F75" s="21">
        <v>-3740.53</v>
      </c>
      <c r="G75" s="88" t="s">
        <v>104</v>
      </c>
      <c r="H75" s="85">
        <f t="shared" ref="H75:H76" si="26">+H67</f>
        <v>2.5000000000000001E-2</v>
      </c>
      <c r="I75" s="2">
        <v>623101</v>
      </c>
      <c r="J75" s="2" t="s">
        <v>36</v>
      </c>
      <c r="K75" s="6">
        <f>LOON!D14</f>
        <v>-3967.84</v>
      </c>
      <c r="L75" s="6">
        <f t="shared" si="25"/>
        <v>-4067.04</v>
      </c>
      <c r="M75" s="97">
        <v>-4135.6499999999996</v>
      </c>
      <c r="N75" s="6">
        <f>+ROUND(+L75+(L75*$H75),2)</f>
        <v>-4168.72</v>
      </c>
      <c r="O75" s="97">
        <v>-4560.1099999999997</v>
      </c>
      <c r="P75" s="6">
        <v>-6560.89</v>
      </c>
      <c r="Q75" s="6">
        <v>-6560.89</v>
      </c>
      <c r="R75" s="1"/>
      <c r="S75" s="1"/>
      <c r="T75" s="1"/>
    </row>
    <row r="76" spans="1:20" ht="14" x14ac:dyDescent="0.15">
      <c r="A76" s="2">
        <v>623111</v>
      </c>
      <c r="B76" s="2" t="s">
        <v>37</v>
      </c>
      <c r="C76" s="21">
        <v>2339.1999999999998</v>
      </c>
      <c r="F76" s="25"/>
      <c r="G76" s="88" t="s">
        <v>104</v>
      </c>
      <c r="H76" s="85">
        <f t="shared" si="26"/>
        <v>2.5000000000000001E-2</v>
      </c>
      <c r="I76" s="2">
        <v>623111</v>
      </c>
      <c r="J76" s="2" t="s">
        <v>37</v>
      </c>
      <c r="K76" s="6">
        <f>LOON!D15</f>
        <v>2422.48</v>
      </c>
      <c r="L76" s="6">
        <f t="shared" si="25"/>
        <v>2483.04</v>
      </c>
      <c r="M76" s="97"/>
      <c r="N76" s="6">
        <f>+ROUND(+L76+(L76*$H76),2)</f>
        <v>2545.12</v>
      </c>
      <c r="O76" s="97"/>
      <c r="P76" s="103"/>
      <c r="Q76" s="103"/>
      <c r="R76" s="1"/>
      <c r="S76" s="1"/>
      <c r="T76" s="1"/>
    </row>
    <row r="77" spans="1:20" ht="14" x14ac:dyDescent="0.15">
      <c r="A77" s="1"/>
      <c r="B77" s="1"/>
      <c r="C77" s="78"/>
      <c r="D77" s="1"/>
      <c r="E77" s="1"/>
      <c r="F77" s="78"/>
      <c r="G77" s="88"/>
      <c r="H77" s="84"/>
      <c r="K77" s="6"/>
      <c r="L77" s="6"/>
      <c r="M77" s="97"/>
      <c r="N77" s="6"/>
      <c r="O77" s="97"/>
      <c r="P77" s="6"/>
      <c r="Q77" s="6"/>
      <c r="R77" s="1"/>
      <c r="S77" s="1"/>
      <c r="T77" s="1"/>
    </row>
    <row r="78" spans="1:20" ht="14" x14ac:dyDescent="0.15">
      <c r="A78" s="2">
        <v>630100</v>
      </c>
      <c r="B78" s="2" t="s">
        <v>195</v>
      </c>
      <c r="C78" s="21"/>
      <c r="E78" s="2" t="s">
        <v>195</v>
      </c>
      <c r="F78" s="25"/>
      <c r="G78" s="88" t="s">
        <v>196</v>
      </c>
      <c r="H78" s="84"/>
      <c r="I78" s="2">
        <v>630200</v>
      </c>
      <c r="J78" s="2" t="s">
        <v>195</v>
      </c>
      <c r="K78" s="6">
        <f>INVESTERINGEN!$C$18</f>
        <v>4446.75</v>
      </c>
      <c r="L78" s="6">
        <f>INVESTERINGEN!D18</f>
        <v>5445</v>
      </c>
      <c r="M78" s="97">
        <v>4761.3599999999997</v>
      </c>
      <c r="N78" s="6">
        <f>INVESTERINGEN!E18</f>
        <v>6050</v>
      </c>
      <c r="O78" s="97">
        <v>4761.3599999999997</v>
      </c>
      <c r="P78" s="6">
        <v>4761.3599999999997</v>
      </c>
      <c r="Q78" s="6">
        <v>4761.3599999999997</v>
      </c>
      <c r="R78" s="1"/>
      <c r="S78" s="1"/>
      <c r="T78" s="1"/>
    </row>
    <row r="79" spans="1:20" ht="14" x14ac:dyDescent="0.15">
      <c r="A79" s="2">
        <v>630200</v>
      </c>
      <c r="B79" s="2" t="s">
        <v>38</v>
      </c>
      <c r="C79" s="21">
        <v>14745.63</v>
      </c>
      <c r="D79" s="2">
        <v>630200</v>
      </c>
      <c r="E79" s="2" t="s">
        <v>38</v>
      </c>
      <c r="F79" s="21">
        <v>6084.72</v>
      </c>
      <c r="G79" s="88" t="s">
        <v>172</v>
      </c>
      <c r="H79" s="84"/>
      <c r="I79" s="2">
        <v>630200</v>
      </c>
      <c r="J79" s="2" t="s">
        <v>38</v>
      </c>
      <c r="K79" s="6">
        <f>'D&amp;A'!$AH$70</f>
        <v>14745.63</v>
      </c>
      <c r="L79" s="6">
        <f>'D&amp;A'!$AK$70</f>
        <v>14298.82</v>
      </c>
      <c r="M79" s="97">
        <v>14298.82</v>
      </c>
      <c r="N79" s="6">
        <f>'D&amp;A'!$AN$70</f>
        <v>14298.82</v>
      </c>
      <c r="O79" s="97">
        <v>14298.82</v>
      </c>
      <c r="P79" s="6">
        <f>DEPRECIATION!$AS$56</f>
        <v>14298.82</v>
      </c>
      <c r="Q79" s="6">
        <v>133838.48000000001</v>
      </c>
      <c r="R79" s="1">
        <v>119539.66</v>
      </c>
      <c r="S79" s="1"/>
      <c r="T79" s="1"/>
    </row>
    <row r="80" spans="1:20" ht="14" x14ac:dyDescent="0.15">
      <c r="C80" s="21"/>
      <c r="F80" s="25"/>
      <c r="G80" s="88"/>
      <c r="H80" s="84"/>
      <c r="I80" s="2"/>
      <c r="J80" s="2"/>
      <c r="K80" s="6"/>
      <c r="L80" s="6"/>
      <c r="M80" s="97"/>
      <c r="N80" s="6"/>
      <c r="O80" s="97"/>
      <c r="P80" s="6"/>
      <c r="Q80" s="6"/>
      <c r="R80" s="1"/>
      <c r="S80" s="1"/>
      <c r="T80" s="1"/>
    </row>
    <row r="81" spans="1:25" ht="14" x14ac:dyDescent="0.15">
      <c r="A81" s="2">
        <v>634000</v>
      </c>
      <c r="B81" s="2" t="s">
        <v>241</v>
      </c>
      <c r="C81" s="21"/>
      <c r="E81" s="2" t="s">
        <v>241</v>
      </c>
      <c r="F81" s="25"/>
      <c r="G81" s="88"/>
      <c r="H81" s="84"/>
      <c r="I81" s="2"/>
      <c r="J81" s="2" t="s">
        <v>241</v>
      </c>
      <c r="K81" s="6"/>
      <c r="L81" s="6"/>
      <c r="M81" s="97"/>
      <c r="N81" s="6"/>
      <c r="O81" s="97">
        <v>508</v>
      </c>
      <c r="P81" s="6"/>
      <c r="Q81" s="6">
        <v>0</v>
      </c>
      <c r="R81" s="1"/>
      <c r="S81" s="1"/>
      <c r="T81" s="1"/>
    </row>
    <row r="82" spans="1:25" ht="14" x14ac:dyDescent="0.15">
      <c r="A82" s="2">
        <v>634100</v>
      </c>
      <c r="B82" s="2" t="s">
        <v>240</v>
      </c>
      <c r="C82" s="21"/>
      <c r="E82" s="2" t="s">
        <v>240</v>
      </c>
      <c r="F82" s="25"/>
      <c r="G82" s="88"/>
      <c r="H82" s="84"/>
      <c r="I82" s="2"/>
      <c r="J82" s="2" t="s">
        <v>240</v>
      </c>
      <c r="K82" s="6"/>
      <c r="L82" s="6"/>
      <c r="M82" s="97"/>
      <c r="N82" s="6"/>
      <c r="O82" s="97">
        <v>-1519</v>
      </c>
      <c r="P82" s="6"/>
      <c r="Q82" s="6">
        <v>0</v>
      </c>
      <c r="R82" s="1"/>
      <c r="S82" s="1"/>
      <c r="T82" s="1"/>
    </row>
    <row r="83" spans="1:25" ht="14" x14ac:dyDescent="0.15">
      <c r="C83" s="21"/>
      <c r="F83" s="25"/>
      <c r="G83" s="88"/>
      <c r="H83" s="84"/>
      <c r="I83" s="2"/>
      <c r="J83" s="2"/>
      <c r="K83" s="6"/>
      <c r="L83" s="6"/>
      <c r="M83" s="97"/>
      <c r="N83" s="6"/>
      <c r="O83" s="97"/>
      <c r="P83" s="6"/>
      <c r="Q83" s="6"/>
      <c r="R83" s="1"/>
      <c r="S83" s="1"/>
      <c r="T83" s="1"/>
    </row>
    <row r="84" spans="1:25" ht="14" x14ac:dyDescent="0.15">
      <c r="A84" s="2">
        <v>6560</v>
      </c>
      <c r="B84" s="2" t="s">
        <v>39</v>
      </c>
      <c r="C84" s="21">
        <v>300</v>
      </c>
      <c r="E84" s="2" t="s">
        <v>39</v>
      </c>
      <c r="F84" s="21"/>
      <c r="G84" s="88"/>
      <c r="H84" s="84"/>
      <c r="I84" s="2">
        <v>6560</v>
      </c>
      <c r="J84" s="2" t="s">
        <v>39</v>
      </c>
      <c r="K84" s="6"/>
      <c r="L84" s="6"/>
      <c r="M84" s="97"/>
      <c r="N84" s="6"/>
      <c r="O84" s="97"/>
      <c r="P84" s="6"/>
      <c r="Q84" s="6"/>
      <c r="R84" s="1"/>
      <c r="S84" s="1"/>
      <c r="T84" s="1"/>
    </row>
    <row r="85" spans="1:25" ht="14" x14ac:dyDescent="0.15">
      <c r="A85" s="2">
        <v>659000</v>
      </c>
      <c r="B85" s="2" t="s">
        <v>40</v>
      </c>
      <c r="C85" s="21">
        <v>80.5</v>
      </c>
      <c r="D85" s="2">
        <v>659000</v>
      </c>
      <c r="E85" s="2" t="s">
        <v>40</v>
      </c>
      <c r="F85" s="21">
        <v>30.15</v>
      </c>
      <c r="G85" s="88" t="s">
        <v>178</v>
      </c>
      <c r="H85" s="85">
        <f>+H73</f>
        <v>0</v>
      </c>
      <c r="I85" s="2">
        <v>659000</v>
      </c>
      <c r="J85" s="2" t="s">
        <v>40</v>
      </c>
      <c r="K85" s="6">
        <f>'BASIS HISTORISCHE CIJFERS'!$B$70</f>
        <v>65.418333333333337</v>
      </c>
      <c r="L85" s="6">
        <f>+ROUND(+K85+(K85*$H85),2)</f>
        <v>65.42</v>
      </c>
      <c r="M85" s="97">
        <v>92.85</v>
      </c>
      <c r="N85" s="6">
        <f>+ROUND(+L85+(L85*$H85),2)</f>
        <v>65.42</v>
      </c>
      <c r="O85" s="97">
        <v>115.8</v>
      </c>
      <c r="P85" s="6">
        <f>+ROUND(+N85+(N85*$H85),2)</f>
        <v>65.42</v>
      </c>
      <c r="Q85" s="6">
        <f>+ROUND(+P85+(P85*$H85),2)</f>
        <v>65.42</v>
      </c>
      <c r="R85" s="1"/>
      <c r="S85" s="1"/>
      <c r="T85" s="1"/>
    </row>
    <row r="86" spans="1:25" ht="14" x14ac:dyDescent="0.15">
      <c r="A86" s="2">
        <v>659010</v>
      </c>
      <c r="B86" s="2" t="s">
        <v>56</v>
      </c>
      <c r="C86" s="21"/>
      <c r="D86" s="2">
        <v>659010</v>
      </c>
      <c r="E86" s="2" t="s">
        <v>56</v>
      </c>
      <c r="F86" s="21">
        <v>0.67</v>
      </c>
      <c r="G86" s="88"/>
      <c r="H86" s="85"/>
      <c r="I86" s="2">
        <v>659010</v>
      </c>
      <c r="J86" s="2" t="s">
        <v>56</v>
      </c>
      <c r="K86" s="6"/>
      <c r="L86" s="6"/>
      <c r="M86" s="97">
        <v>1.2</v>
      </c>
      <c r="N86" s="6"/>
      <c r="O86" s="97">
        <v>-299.99</v>
      </c>
      <c r="P86" s="6"/>
      <c r="Q86" s="6">
        <v>0</v>
      </c>
      <c r="R86" s="1"/>
      <c r="S86" s="1"/>
      <c r="T86" s="1"/>
    </row>
    <row r="87" spans="1:25" ht="14" x14ac:dyDescent="0.15">
      <c r="C87" s="21"/>
      <c r="F87" s="21"/>
      <c r="G87" s="88"/>
      <c r="H87" s="85"/>
      <c r="I87" s="2"/>
      <c r="J87" s="2"/>
      <c r="K87" s="6"/>
      <c r="L87" s="6"/>
      <c r="M87" s="97"/>
      <c r="N87" s="6"/>
      <c r="O87" s="97"/>
      <c r="P87" s="6"/>
      <c r="Q87" s="6"/>
      <c r="R87" s="1"/>
      <c r="S87" s="1"/>
      <c r="T87" s="1"/>
    </row>
    <row r="88" spans="1:25" ht="14" x14ac:dyDescent="0.15">
      <c r="A88" s="2">
        <v>670100</v>
      </c>
      <c r="B88" s="2" t="s">
        <v>86</v>
      </c>
      <c r="C88" s="21"/>
      <c r="D88" s="2">
        <v>670100</v>
      </c>
      <c r="E88" s="2" t="s">
        <v>86</v>
      </c>
      <c r="F88" s="21"/>
      <c r="G88" s="88"/>
      <c r="H88" s="85"/>
      <c r="I88" s="2">
        <v>670100</v>
      </c>
      <c r="J88" s="2" t="s">
        <v>86</v>
      </c>
      <c r="K88" s="6"/>
      <c r="L88" s="6"/>
      <c r="M88" s="97">
        <v>0</v>
      </c>
      <c r="N88" s="6"/>
      <c r="O88" s="97"/>
      <c r="P88" s="6"/>
      <c r="Q88" s="6">
        <v>0</v>
      </c>
      <c r="R88" s="1"/>
      <c r="S88" s="1"/>
      <c r="T88" s="1"/>
    </row>
    <row r="89" spans="1:25" ht="14" x14ac:dyDescent="0.15">
      <c r="A89" s="2">
        <v>668000</v>
      </c>
      <c r="B89" s="2" t="s">
        <v>85</v>
      </c>
      <c r="C89" s="21"/>
      <c r="D89" s="2">
        <v>668000</v>
      </c>
      <c r="E89" s="2" t="s">
        <v>85</v>
      </c>
      <c r="F89" s="21"/>
      <c r="G89" s="88"/>
      <c r="H89" s="85"/>
      <c r="I89" s="2">
        <v>668000</v>
      </c>
      <c r="J89" s="2" t="s">
        <v>85</v>
      </c>
      <c r="K89" s="6"/>
      <c r="L89" s="6"/>
      <c r="M89" s="97">
        <v>0</v>
      </c>
      <c r="N89" s="6"/>
      <c r="O89" s="97"/>
      <c r="P89" s="6"/>
      <c r="Q89" s="6">
        <v>0</v>
      </c>
      <c r="R89" s="1"/>
      <c r="S89" s="1"/>
      <c r="T89" s="1"/>
    </row>
    <row r="90" spans="1:25" ht="14" x14ac:dyDescent="0.15">
      <c r="A90" s="2">
        <v>691000</v>
      </c>
      <c r="B90" s="2" t="s">
        <v>57</v>
      </c>
      <c r="C90" s="21"/>
      <c r="D90" s="2">
        <v>691000</v>
      </c>
      <c r="E90" s="2" t="s">
        <v>57</v>
      </c>
      <c r="F90" s="21">
        <v>47948.56</v>
      </c>
      <c r="G90" s="88"/>
      <c r="H90" s="85"/>
      <c r="I90" s="2">
        <v>691000</v>
      </c>
      <c r="J90" s="2" t="s">
        <v>57</v>
      </c>
      <c r="K90" s="6"/>
      <c r="L90" s="6"/>
      <c r="M90" s="97"/>
      <c r="N90" s="6"/>
      <c r="O90" s="97"/>
      <c r="P90" s="6"/>
      <c r="Q90" s="6">
        <v>0</v>
      </c>
      <c r="R90" s="1"/>
      <c r="S90" s="1"/>
      <c r="T90" s="1"/>
    </row>
    <row r="91" spans="1:25" ht="14" x14ac:dyDescent="0.15">
      <c r="A91" s="1"/>
      <c r="B91" s="1"/>
      <c r="C91" s="1"/>
      <c r="D91" s="1"/>
      <c r="E91" s="1"/>
      <c r="G91" s="39"/>
      <c r="H91" s="2"/>
      <c r="I91" s="2"/>
      <c r="J91" s="2"/>
      <c r="K91" s="6"/>
      <c r="L91" s="6"/>
      <c r="M91" s="6"/>
      <c r="N91" s="6"/>
      <c r="O91" s="6"/>
      <c r="P91" s="6"/>
      <c r="Q91" s="6"/>
      <c r="R91" s="1"/>
      <c r="S91" s="1"/>
      <c r="T91" s="1"/>
    </row>
    <row r="92" spans="1:25" ht="14" x14ac:dyDescent="0.15">
      <c r="A92" s="65"/>
      <c r="B92" s="65"/>
      <c r="C92" s="66"/>
      <c r="D92" s="65"/>
      <c r="E92" s="65"/>
      <c r="F92" s="66"/>
      <c r="G92" s="89"/>
      <c r="H92" s="65"/>
      <c r="I92" s="65"/>
      <c r="J92" s="65"/>
      <c r="K92" s="66"/>
      <c r="L92" s="66"/>
      <c r="M92" s="66"/>
      <c r="N92" s="66"/>
      <c r="O92" s="66"/>
      <c r="P92" s="66"/>
      <c r="Q92" s="66"/>
      <c r="R92" s="1"/>
      <c r="S92" s="1"/>
      <c r="T92" s="1"/>
      <c r="U92" s="2"/>
      <c r="V92" s="2"/>
      <c r="W92" s="2"/>
      <c r="X92" s="2"/>
      <c r="Y92" s="2"/>
    </row>
    <row r="93" spans="1:25" s="60" customFormat="1" ht="14" x14ac:dyDescent="0.15">
      <c r="A93" s="68"/>
      <c r="B93" s="67" t="s">
        <v>183</v>
      </c>
      <c r="C93" s="69">
        <f>SUM(C4:C90)</f>
        <v>173133.40999999995</v>
      </c>
      <c r="D93" s="68"/>
      <c r="E93" s="67" t="s">
        <v>183</v>
      </c>
      <c r="F93" s="69">
        <f>SUM(F4:F90)</f>
        <v>192053.37</v>
      </c>
      <c r="G93" s="90"/>
      <c r="H93" s="67"/>
      <c r="I93" s="68"/>
      <c r="J93" s="67" t="s">
        <v>183</v>
      </c>
      <c r="K93" s="69">
        <f t="shared" ref="K93:P93" si="27">SUM(K4:K90)</f>
        <v>199753.11999999994</v>
      </c>
      <c r="L93" s="69">
        <f t="shared" si="27"/>
        <v>243963.34666666668</v>
      </c>
      <c r="M93" s="69">
        <f t="shared" si="27"/>
        <v>267257.68</v>
      </c>
      <c r="N93" s="69">
        <f t="shared" si="27"/>
        <v>239936.6133333334</v>
      </c>
      <c r="O93" s="69">
        <f t="shared" si="27"/>
        <v>226039.64000000004</v>
      </c>
      <c r="P93" s="69">
        <f t="shared" si="27"/>
        <v>222214.78333333333</v>
      </c>
      <c r="Q93" s="69">
        <f>SUM(Q4:Q90)</f>
        <v>341754.4433333333</v>
      </c>
      <c r="U93" s="11"/>
      <c r="V93" s="11"/>
      <c r="W93" s="11"/>
      <c r="X93" s="11"/>
      <c r="Y93" s="11"/>
    </row>
    <row r="94" spans="1:25" ht="14" x14ac:dyDescent="0.15">
      <c r="A94" s="71"/>
      <c r="B94" s="71"/>
      <c r="C94" s="72"/>
      <c r="D94" s="71"/>
      <c r="E94" s="71"/>
      <c r="F94" s="72"/>
      <c r="G94" s="91"/>
      <c r="H94" s="70"/>
      <c r="I94" s="71"/>
      <c r="J94" s="71"/>
      <c r="K94" s="72"/>
      <c r="L94" s="72"/>
      <c r="M94" s="72"/>
      <c r="N94" s="72"/>
      <c r="O94" s="72"/>
      <c r="P94" s="72"/>
      <c r="Q94" s="72"/>
      <c r="R94" s="1"/>
      <c r="S94" s="1"/>
      <c r="T94" s="1"/>
      <c r="U94" s="2"/>
      <c r="V94" s="2"/>
      <c r="W94" s="2"/>
      <c r="X94" s="2"/>
      <c r="Y94" s="2"/>
    </row>
    <row r="95" spans="1:25" ht="14" x14ac:dyDescent="0.15">
      <c r="F95" s="2"/>
      <c r="G95" s="39"/>
      <c r="H95" s="2"/>
      <c r="K95" s="6"/>
      <c r="L95" s="6"/>
      <c r="M95" s="6"/>
      <c r="N95" s="6"/>
      <c r="O95" s="6"/>
      <c r="P95" s="6"/>
      <c r="Q95" s="6"/>
      <c r="R95" s="1"/>
      <c r="S95" s="1"/>
      <c r="T95" s="1"/>
      <c r="U95" s="2"/>
      <c r="V95" s="2"/>
      <c r="W95" s="2"/>
      <c r="X95" s="2"/>
      <c r="Y95" s="2"/>
    </row>
    <row r="96" spans="1:25" ht="14" x14ac:dyDescent="0.15">
      <c r="A96" s="2">
        <v>700000</v>
      </c>
      <c r="B96" s="2" t="s">
        <v>41</v>
      </c>
      <c r="C96" s="21">
        <v>-126768</v>
      </c>
      <c r="D96" s="2">
        <v>700000</v>
      </c>
      <c r="E96" s="2" t="s">
        <v>41</v>
      </c>
      <c r="F96" s="21">
        <v>-166460</v>
      </c>
      <c r="G96" s="39" t="s">
        <v>185</v>
      </c>
      <c r="H96" s="2"/>
      <c r="I96" s="2">
        <v>700000</v>
      </c>
      <c r="J96" s="2" t="s">
        <v>41</v>
      </c>
      <c r="K96" s="6">
        <v>-159380</v>
      </c>
      <c r="L96" s="6">
        <f>+K96</f>
        <v>-159380</v>
      </c>
      <c r="M96" s="97">
        <v>-157806</v>
      </c>
      <c r="N96" s="6">
        <v>-145990</v>
      </c>
      <c r="O96" s="97">
        <v>-147724.9</v>
      </c>
      <c r="P96" s="6">
        <v>-162000</v>
      </c>
      <c r="Q96" s="6">
        <v>-162000</v>
      </c>
      <c r="R96" s="1"/>
      <c r="S96" s="1"/>
      <c r="T96" s="1"/>
      <c r="U96" s="2"/>
      <c r="V96" s="2"/>
      <c r="W96" s="2"/>
      <c r="X96" s="2"/>
      <c r="Y96" s="2"/>
    </row>
    <row r="97" spans="1:25" ht="14" x14ac:dyDescent="0.15">
      <c r="A97" s="2">
        <v>700100</v>
      </c>
      <c r="B97" s="2" t="s">
        <v>42</v>
      </c>
      <c r="C97" s="21">
        <v>-210</v>
      </c>
      <c r="D97" s="2">
        <v>700100</v>
      </c>
      <c r="E97" s="2" t="s">
        <v>42</v>
      </c>
      <c r="F97" s="21">
        <v>-953</v>
      </c>
      <c r="G97" s="39"/>
      <c r="H97" s="2"/>
      <c r="I97" s="2">
        <v>700100</v>
      </c>
      <c r="J97" s="2" t="s">
        <v>42</v>
      </c>
      <c r="K97" s="6"/>
      <c r="L97" s="6"/>
      <c r="M97" s="97">
        <v>-397</v>
      </c>
      <c r="N97" s="6"/>
      <c r="O97" s="97">
        <v>-855.47</v>
      </c>
      <c r="P97" s="6"/>
      <c r="Q97" s="6"/>
      <c r="R97" s="1"/>
      <c r="S97" s="1"/>
      <c r="T97" s="1"/>
      <c r="U97" s="2"/>
      <c r="V97" s="2"/>
      <c r="W97" s="2"/>
      <c r="X97" s="2"/>
      <c r="Y97" s="2"/>
    </row>
    <row r="98" spans="1:25" ht="14" x14ac:dyDescent="0.15">
      <c r="A98" s="2">
        <v>700101</v>
      </c>
      <c r="B98" s="2" t="s">
        <v>43</v>
      </c>
      <c r="C98" s="21">
        <v>-85</v>
      </c>
      <c r="D98" s="2">
        <v>700101</v>
      </c>
      <c r="E98" s="2" t="s">
        <v>43</v>
      </c>
      <c r="F98" s="21">
        <v>-1156</v>
      </c>
      <c r="G98" s="39"/>
      <c r="H98" s="2"/>
      <c r="I98" s="2">
        <v>700101</v>
      </c>
      <c r="J98" s="2" t="s">
        <v>43</v>
      </c>
      <c r="K98" s="6"/>
      <c r="L98" s="6"/>
      <c r="M98" s="97">
        <v>-1717</v>
      </c>
      <c r="N98" s="6"/>
      <c r="O98" s="97">
        <v>-1665.5</v>
      </c>
      <c r="P98" s="6"/>
      <c r="Q98" s="6"/>
      <c r="R98" s="1"/>
      <c r="S98" s="1"/>
      <c r="T98" s="1"/>
      <c r="U98" s="2"/>
      <c r="V98" s="2"/>
      <c r="W98" s="2"/>
      <c r="X98" s="2"/>
      <c r="Y98" s="2"/>
    </row>
    <row r="99" spans="1:25" ht="14" x14ac:dyDescent="0.15">
      <c r="A99" s="2">
        <v>700102</v>
      </c>
      <c r="B99" s="2" t="s">
        <v>58</v>
      </c>
      <c r="C99" s="21"/>
      <c r="D99" s="2">
        <v>700102</v>
      </c>
      <c r="E99" s="2" t="s">
        <v>58</v>
      </c>
      <c r="F99" s="21">
        <v>-160</v>
      </c>
      <c r="G99" s="39"/>
      <c r="H99" s="2"/>
      <c r="I99" s="2">
        <v>700102</v>
      </c>
      <c r="J99" s="2" t="s">
        <v>58</v>
      </c>
      <c r="K99" s="6"/>
      <c r="L99" s="6"/>
      <c r="M99" s="97"/>
      <c r="N99" s="6"/>
      <c r="O99" s="97">
        <v>-564.47</v>
      </c>
      <c r="P99" s="6"/>
      <c r="Q99" s="6"/>
      <c r="R99" s="1"/>
      <c r="S99" s="1"/>
      <c r="T99" s="1"/>
      <c r="U99" s="2"/>
      <c r="V99" s="2"/>
      <c r="W99" s="2"/>
      <c r="X99" s="2"/>
      <c r="Y99" s="2"/>
    </row>
    <row r="100" spans="1:25" ht="14" x14ac:dyDescent="0.15">
      <c r="A100" s="2">
        <v>700103</v>
      </c>
      <c r="B100" s="2" t="s">
        <v>59</v>
      </c>
      <c r="C100" s="21"/>
      <c r="D100" s="2">
        <v>700103</v>
      </c>
      <c r="E100" s="2" t="s">
        <v>59</v>
      </c>
      <c r="F100" s="21">
        <v>-130</v>
      </c>
      <c r="G100" s="39"/>
      <c r="H100" s="2"/>
      <c r="I100" s="2">
        <v>700103</v>
      </c>
      <c r="J100" s="2" t="s">
        <v>59</v>
      </c>
      <c r="K100" s="6"/>
      <c r="L100" s="6"/>
      <c r="M100" s="97">
        <v>-26</v>
      </c>
      <c r="N100" s="6"/>
      <c r="O100" s="97"/>
      <c r="P100" s="6"/>
      <c r="Q100" s="6"/>
      <c r="R100" s="1"/>
      <c r="S100" s="1"/>
      <c r="T100" s="1"/>
      <c r="U100" s="2"/>
      <c r="V100" s="2"/>
      <c r="W100" s="2"/>
      <c r="X100" s="2"/>
      <c r="Y100" s="2"/>
    </row>
    <row r="101" spans="1:25" ht="14" x14ac:dyDescent="0.15">
      <c r="A101" s="2">
        <v>700104</v>
      </c>
      <c r="B101" s="2" t="s">
        <v>44</v>
      </c>
      <c r="C101" s="21">
        <v>-132</v>
      </c>
      <c r="D101" s="2">
        <v>700104</v>
      </c>
      <c r="E101" s="2" t="s">
        <v>44</v>
      </c>
      <c r="F101" s="21">
        <v>-165</v>
      </c>
      <c r="G101" s="39"/>
      <c r="H101" s="2"/>
      <c r="I101" s="2">
        <v>700104</v>
      </c>
      <c r="J101" s="2" t="s">
        <v>44</v>
      </c>
      <c r="K101" s="6"/>
      <c r="L101" s="6"/>
      <c r="M101" s="97">
        <v>-60</v>
      </c>
      <c r="N101" s="6"/>
      <c r="O101" s="97">
        <v>-150</v>
      </c>
      <c r="P101" s="6"/>
      <c r="Q101" s="6"/>
      <c r="R101" s="1"/>
      <c r="S101" s="1"/>
      <c r="T101" s="1"/>
      <c r="U101" s="2"/>
      <c r="V101" s="2"/>
      <c r="W101" s="2"/>
      <c r="X101" s="2"/>
      <c r="Y101" s="2"/>
    </row>
    <row r="102" spans="1:25" ht="14" x14ac:dyDescent="0.15">
      <c r="A102" s="2">
        <v>700105</v>
      </c>
      <c r="B102" s="2" t="s">
        <v>78</v>
      </c>
      <c r="C102" s="21"/>
      <c r="E102" s="2" t="s">
        <v>78</v>
      </c>
      <c r="F102" s="21"/>
      <c r="G102" s="39"/>
      <c r="H102" s="2"/>
      <c r="I102" s="2"/>
      <c r="J102" s="2" t="s">
        <v>78</v>
      </c>
      <c r="K102" s="6"/>
      <c r="L102" s="6"/>
      <c r="M102" s="97"/>
      <c r="N102" s="6"/>
      <c r="O102" s="97">
        <v>-27</v>
      </c>
      <c r="P102" s="6"/>
      <c r="Q102" s="6"/>
      <c r="R102" s="1"/>
      <c r="S102" s="1"/>
      <c r="T102" s="1"/>
      <c r="U102" s="2"/>
      <c r="V102" s="2"/>
      <c r="W102" s="2"/>
      <c r="X102" s="2"/>
      <c r="Y102" s="2"/>
    </row>
    <row r="103" spans="1:25" ht="14" x14ac:dyDescent="0.15">
      <c r="A103" s="2">
        <v>700106</v>
      </c>
      <c r="B103" s="2" t="s">
        <v>45</v>
      </c>
      <c r="C103" s="21">
        <v>-34</v>
      </c>
      <c r="D103" s="2">
        <v>700106</v>
      </c>
      <c r="E103" s="2" t="s">
        <v>45</v>
      </c>
      <c r="F103" s="21">
        <v>-221</v>
      </c>
      <c r="G103" s="39"/>
      <c r="H103" s="2"/>
      <c r="I103" s="2">
        <v>700106</v>
      </c>
      <c r="J103" s="2" t="s">
        <v>45</v>
      </c>
      <c r="K103" s="6"/>
      <c r="L103" s="6"/>
      <c r="M103" s="97"/>
      <c r="N103" s="6"/>
      <c r="O103" s="97"/>
      <c r="P103" s="6"/>
      <c r="Q103" s="6"/>
      <c r="R103" s="1"/>
      <c r="S103" s="1"/>
      <c r="T103" s="1"/>
      <c r="U103" s="2"/>
      <c r="V103" s="2"/>
      <c r="W103" s="2"/>
      <c r="X103" s="2"/>
      <c r="Y103" s="2"/>
    </row>
    <row r="104" spans="1:25" ht="14" x14ac:dyDescent="0.15">
      <c r="A104" s="2">
        <v>700109</v>
      </c>
      <c r="B104" s="2" t="s">
        <v>61</v>
      </c>
      <c r="C104" s="21"/>
      <c r="D104" s="2">
        <v>700109</v>
      </c>
      <c r="E104" s="2" t="s">
        <v>61</v>
      </c>
      <c r="F104" s="21">
        <v>-4.5</v>
      </c>
      <c r="G104" s="39"/>
      <c r="H104" s="2"/>
      <c r="I104" s="2">
        <v>700109</v>
      </c>
      <c r="J104" s="2" t="s">
        <v>61</v>
      </c>
      <c r="K104" s="6"/>
      <c r="L104" s="6"/>
      <c r="M104" s="97"/>
      <c r="N104" s="6"/>
      <c r="O104" s="97"/>
      <c r="P104" s="6"/>
      <c r="Q104" s="6"/>
      <c r="R104" s="1"/>
      <c r="S104" s="1"/>
      <c r="T104" s="1"/>
      <c r="U104" s="2"/>
      <c r="V104" s="2"/>
      <c r="W104" s="2"/>
      <c r="X104" s="2"/>
      <c r="Y104" s="2"/>
    </row>
    <row r="105" spans="1:25" ht="14" x14ac:dyDescent="0.15">
      <c r="A105" s="2">
        <v>700107</v>
      </c>
      <c r="B105" s="2" t="s">
        <v>60</v>
      </c>
      <c r="C105" s="21"/>
      <c r="D105" s="2">
        <v>700107</v>
      </c>
      <c r="E105" s="2" t="s">
        <v>60</v>
      </c>
      <c r="F105" s="21">
        <v>-105</v>
      </c>
      <c r="G105" s="39"/>
      <c r="H105" s="2"/>
      <c r="I105" s="2">
        <v>700107</v>
      </c>
      <c r="J105" s="2" t="s">
        <v>60</v>
      </c>
      <c r="K105" s="6"/>
      <c r="L105" s="6"/>
      <c r="M105" s="97"/>
      <c r="N105" s="6"/>
      <c r="O105" s="97"/>
      <c r="P105" s="6"/>
      <c r="Q105" s="6"/>
      <c r="R105" s="1"/>
      <c r="S105" s="1"/>
      <c r="T105" s="1"/>
      <c r="U105" s="2"/>
      <c r="V105" s="2"/>
      <c r="W105" s="2"/>
      <c r="X105" s="2"/>
      <c r="Y105" s="2"/>
    </row>
    <row r="106" spans="1:25" ht="14" x14ac:dyDescent="0.15">
      <c r="A106" s="2">
        <v>700110</v>
      </c>
      <c r="B106" s="2" t="s">
        <v>46</v>
      </c>
      <c r="C106" s="21">
        <v>-40</v>
      </c>
      <c r="D106" s="2">
        <v>700110</v>
      </c>
      <c r="E106" s="2" t="s">
        <v>46</v>
      </c>
      <c r="F106" s="21"/>
      <c r="G106" s="39"/>
      <c r="H106" s="2"/>
      <c r="I106" s="2">
        <v>700110</v>
      </c>
      <c r="J106" s="2" t="s">
        <v>46</v>
      </c>
      <c r="K106" s="6"/>
      <c r="L106" s="6"/>
      <c r="M106" s="97"/>
      <c r="N106" s="6"/>
      <c r="O106" s="97"/>
      <c r="P106" s="6"/>
      <c r="Q106" s="6"/>
      <c r="R106" s="1"/>
      <c r="S106" s="1"/>
      <c r="T106" s="1"/>
      <c r="U106" s="2"/>
      <c r="V106" s="2"/>
      <c r="W106" s="2"/>
      <c r="X106" s="2"/>
      <c r="Y106" s="2"/>
    </row>
    <row r="107" spans="1:25" ht="14" x14ac:dyDescent="0.15">
      <c r="A107" s="2">
        <v>700112</v>
      </c>
      <c r="B107" s="2" t="s">
        <v>62</v>
      </c>
      <c r="C107" s="21"/>
      <c r="D107" s="2">
        <v>700112</v>
      </c>
      <c r="E107" s="2" t="s">
        <v>62</v>
      </c>
      <c r="F107" s="21">
        <v>-9.5</v>
      </c>
      <c r="G107" s="39"/>
      <c r="H107" s="2"/>
      <c r="I107" s="2">
        <v>700112</v>
      </c>
      <c r="J107" s="2" t="s">
        <v>62</v>
      </c>
      <c r="K107" s="6"/>
      <c r="L107" s="6"/>
      <c r="M107" s="97"/>
      <c r="N107" s="6"/>
      <c r="O107" s="97"/>
      <c r="P107" s="6"/>
      <c r="Q107" s="6"/>
      <c r="R107" s="1"/>
      <c r="S107" s="1"/>
      <c r="T107" s="1"/>
      <c r="U107" s="2"/>
      <c r="V107" s="2"/>
      <c r="W107" s="2"/>
      <c r="X107" s="2"/>
      <c r="Y107" s="2"/>
    </row>
    <row r="108" spans="1:25" ht="14" x14ac:dyDescent="0.15">
      <c r="A108" s="2">
        <v>700113</v>
      </c>
      <c r="B108" s="2" t="s">
        <v>63</v>
      </c>
      <c r="C108" s="21"/>
      <c r="D108" s="2">
        <v>700113</v>
      </c>
      <c r="E108" s="2" t="s">
        <v>63</v>
      </c>
      <c r="F108" s="21">
        <v>-48</v>
      </c>
      <c r="G108" s="39"/>
      <c r="H108" s="2"/>
      <c r="I108" s="2">
        <v>700113</v>
      </c>
      <c r="J108" s="2" t="s">
        <v>63</v>
      </c>
      <c r="K108" s="6"/>
      <c r="L108" s="6"/>
      <c r="M108" s="97"/>
      <c r="N108" s="6"/>
      <c r="O108" s="97"/>
      <c r="P108" s="6"/>
      <c r="Q108" s="6"/>
      <c r="R108" s="1"/>
      <c r="S108" s="1"/>
      <c r="T108" s="1"/>
      <c r="U108" s="2"/>
      <c r="V108" s="2"/>
      <c r="W108" s="2"/>
      <c r="X108" s="2"/>
      <c r="Y108" s="2"/>
    </row>
    <row r="109" spans="1:25" ht="14" x14ac:dyDescent="0.15">
      <c r="A109" s="2">
        <v>700115</v>
      </c>
      <c r="B109" s="2" t="s">
        <v>234</v>
      </c>
      <c r="C109" s="21"/>
      <c r="E109" s="2" t="s">
        <v>234</v>
      </c>
      <c r="F109" s="21"/>
      <c r="G109" s="39"/>
      <c r="H109" s="2"/>
      <c r="I109" s="2"/>
      <c r="J109" s="2" t="s">
        <v>234</v>
      </c>
      <c r="K109" s="6"/>
      <c r="L109" s="6"/>
      <c r="M109" s="97">
        <v>-90</v>
      </c>
      <c r="N109" s="6"/>
      <c r="O109" s="97"/>
      <c r="P109" s="6"/>
      <c r="Q109" s="6"/>
      <c r="R109" s="1"/>
      <c r="S109" s="1"/>
      <c r="T109" s="1"/>
      <c r="U109" s="2"/>
      <c r="V109" s="2"/>
      <c r="W109" s="2"/>
      <c r="X109" s="2"/>
      <c r="Y109" s="2"/>
    </row>
    <row r="110" spans="1:25" ht="14" x14ac:dyDescent="0.15">
      <c r="A110" s="2">
        <v>700117</v>
      </c>
      <c r="B110" s="2" t="s">
        <v>227</v>
      </c>
      <c r="C110" s="21"/>
      <c r="E110" s="2" t="s">
        <v>227</v>
      </c>
      <c r="F110" s="21"/>
      <c r="G110" s="39"/>
      <c r="H110" s="2"/>
      <c r="I110" s="2"/>
      <c r="J110" s="2" t="s">
        <v>227</v>
      </c>
      <c r="K110" s="6"/>
      <c r="L110" s="6"/>
      <c r="M110" s="97">
        <v>-10</v>
      </c>
      <c r="N110" s="6"/>
      <c r="O110" s="97"/>
      <c r="P110" s="6"/>
      <c r="Q110" s="6"/>
      <c r="R110" s="1"/>
      <c r="S110" s="1"/>
      <c r="T110" s="1"/>
      <c r="U110" s="2"/>
      <c r="V110" s="2"/>
      <c r="W110" s="2"/>
      <c r="X110" s="2"/>
      <c r="Y110" s="2"/>
    </row>
    <row r="111" spans="1:25" ht="14" x14ac:dyDescent="0.15">
      <c r="A111" s="2">
        <v>700118</v>
      </c>
      <c r="B111" s="2" t="s">
        <v>226</v>
      </c>
      <c r="C111" s="21"/>
      <c r="E111" s="2" t="s">
        <v>226</v>
      </c>
      <c r="F111" s="21"/>
      <c r="G111" s="39"/>
      <c r="H111" s="2"/>
      <c r="I111" s="2"/>
      <c r="J111" s="2" t="s">
        <v>226</v>
      </c>
      <c r="K111" s="6"/>
      <c r="L111" s="6"/>
      <c r="M111" s="97">
        <v>-34.97</v>
      </c>
      <c r="N111" s="6"/>
      <c r="O111" s="97"/>
      <c r="P111" s="6"/>
      <c r="Q111" s="6"/>
      <c r="R111" s="1"/>
      <c r="S111" s="1"/>
      <c r="T111" s="1"/>
      <c r="U111" s="2"/>
      <c r="V111" s="2"/>
      <c r="W111" s="2"/>
      <c r="X111" s="2"/>
      <c r="Y111" s="2"/>
    </row>
    <row r="112" spans="1:25" ht="14" x14ac:dyDescent="0.15">
      <c r="A112" s="2">
        <v>700119</v>
      </c>
      <c r="B112" s="2" t="s">
        <v>225</v>
      </c>
      <c r="C112" s="21"/>
      <c r="E112" s="2" t="s">
        <v>225</v>
      </c>
      <c r="F112" s="21"/>
      <c r="G112" s="39"/>
      <c r="H112" s="2"/>
      <c r="I112" s="2"/>
      <c r="J112" s="2" t="s">
        <v>225</v>
      </c>
      <c r="K112" s="6"/>
      <c r="L112" s="6"/>
      <c r="M112" s="97">
        <v>-15</v>
      </c>
      <c r="N112" s="6"/>
      <c r="O112" s="97"/>
      <c r="P112" s="6"/>
      <c r="Q112" s="6"/>
      <c r="R112" s="1"/>
      <c r="S112" s="1"/>
      <c r="T112" s="1"/>
      <c r="U112" s="2"/>
      <c r="V112" s="2"/>
      <c r="W112" s="2"/>
      <c r="X112" s="2"/>
      <c r="Y112" s="2"/>
    </row>
    <row r="113" spans="1:25" ht="14" x14ac:dyDescent="0.15">
      <c r="A113" s="2">
        <v>700120</v>
      </c>
      <c r="B113" s="2" t="s">
        <v>224</v>
      </c>
      <c r="C113" s="21"/>
      <c r="E113" s="2" t="s">
        <v>224</v>
      </c>
      <c r="F113" s="21"/>
      <c r="G113" s="39"/>
      <c r="H113" s="2"/>
      <c r="I113" s="2"/>
      <c r="J113" s="2" t="s">
        <v>224</v>
      </c>
      <c r="K113" s="6"/>
      <c r="L113" s="6"/>
      <c r="M113" s="97">
        <v>-18557.5</v>
      </c>
      <c r="N113" s="6"/>
      <c r="O113" s="97"/>
      <c r="P113" s="6"/>
      <c r="Q113" s="6"/>
      <c r="R113" s="1"/>
      <c r="S113" s="1"/>
      <c r="T113" s="1"/>
      <c r="U113" s="2"/>
      <c r="V113" s="2"/>
      <c r="W113" s="2"/>
      <c r="X113" s="2"/>
      <c r="Y113" s="2"/>
    </row>
    <row r="114" spans="1:25" ht="14" x14ac:dyDescent="0.15">
      <c r="A114" s="2">
        <v>700121</v>
      </c>
      <c r="B114" s="2" t="s">
        <v>223</v>
      </c>
      <c r="C114" s="21"/>
      <c r="E114" s="2" t="s">
        <v>223</v>
      </c>
      <c r="F114" s="21"/>
      <c r="G114" s="39"/>
      <c r="H114" s="2"/>
      <c r="I114" s="2"/>
      <c r="J114" s="2" t="s">
        <v>223</v>
      </c>
      <c r="K114" s="6"/>
      <c r="L114" s="6"/>
      <c r="M114" s="97">
        <v>-18</v>
      </c>
      <c r="N114" s="6"/>
      <c r="O114" s="97">
        <v>-508</v>
      </c>
      <c r="P114" s="6"/>
      <c r="Q114" s="6"/>
      <c r="R114" s="1"/>
      <c r="S114" s="1"/>
      <c r="T114" s="1"/>
      <c r="U114" s="2"/>
      <c r="V114" s="2"/>
      <c r="W114" s="2"/>
      <c r="X114" s="2"/>
      <c r="Y114" s="2"/>
    </row>
    <row r="115" spans="1:25" ht="14" x14ac:dyDescent="0.15">
      <c r="A115" s="2">
        <v>700122</v>
      </c>
      <c r="B115" s="2" t="s">
        <v>222</v>
      </c>
      <c r="C115" s="21"/>
      <c r="E115" s="2" t="s">
        <v>222</v>
      </c>
      <c r="F115" s="21"/>
      <c r="G115" s="39"/>
      <c r="H115" s="2"/>
      <c r="I115" s="2"/>
      <c r="J115" s="2" t="s">
        <v>222</v>
      </c>
      <c r="K115" s="6"/>
      <c r="L115" s="6"/>
      <c r="M115" s="97">
        <v>-5850</v>
      </c>
      <c r="N115" s="6"/>
      <c r="O115" s="97"/>
      <c r="P115" s="6"/>
      <c r="Q115" s="6"/>
      <c r="R115" s="1"/>
      <c r="S115" s="1"/>
      <c r="T115" s="1"/>
      <c r="U115" s="2"/>
      <c r="V115" s="2"/>
      <c r="W115" s="2"/>
      <c r="X115" s="2"/>
      <c r="Y115" s="2"/>
    </row>
    <row r="116" spans="1:25" ht="14" x14ac:dyDescent="0.15">
      <c r="C116" s="25"/>
      <c r="F116" s="25"/>
      <c r="G116" s="39"/>
      <c r="H116" s="2"/>
      <c r="I116" s="2"/>
      <c r="J116" s="2"/>
      <c r="K116" s="6"/>
      <c r="L116" s="6"/>
      <c r="M116" s="97"/>
      <c r="N116" s="6"/>
      <c r="O116" s="97"/>
      <c r="P116" s="6"/>
      <c r="Q116" s="6"/>
      <c r="R116" s="1"/>
      <c r="S116" s="1"/>
      <c r="T116" s="1"/>
      <c r="U116" s="2"/>
      <c r="V116" s="2"/>
      <c r="W116" s="2"/>
      <c r="X116" s="2"/>
      <c r="Y116" s="2"/>
    </row>
    <row r="117" spans="1:25" ht="14" x14ac:dyDescent="0.15">
      <c r="A117" s="2">
        <v>749000</v>
      </c>
      <c r="B117" s="2" t="s">
        <v>64</v>
      </c>
      <c r="C117" s="21">
        <v>-22581.07</v>
      </c>
      <c r="D117" s="2">
        <v>749000</v>
      </c>
      <c r="E117" s="2" t="s">
        <v>64</v>
      </c>
      <c r="F117" s="21">
        <v>-22581.07</v>
      </c>
      <c r="G117" s="39"/>
      <c r="H117" s="40">
        <f>+H75</f>
        <v>2.5000000000000001E-2</v>
      </c>
      <c r="I117" s="2">
        <v>749000</v>
      </c>
      <c r="J117" s="2" t="s">
        <v>64</v>
      </c>
      <c r="K117" s="6">
        <v>-22581.07</v>
      </c>
      <c r="L117" s="6">
        <f t="shared" ref="L117:L118" si="28">+ROUND(+K117+(K117*$H117),2)</f>
        <v>-23145.599999999999</v>
      </c>
      <c r="M117" s="97">
        <v>-24819</v>
      </c>
      <c r="N117" s="6">
        <f>+ROUND(+L117+(L117*$H117),2)</f>
        <v>-23724.240000000002</v>
      </c>
      <c r="O117" s="97">
        <v>-24819</v>
      </c>
      <c r="P117" s="6">
        <v>-24819</v>
      </c>
      <c r="Q117" s="6">
        <v>-5742.41</v>
      </c>
      <c r="R117" s="1"/>
      <c r="S117" s="1"/>
      <c r="T117" s="1"/>
    </row>
    <row r="118" spans="1:25" ht="14" x14ac:dyDescent="0.15">
      <c r="A118" s="2">
        <v>749200</v>
      </c>
      <c r="B118" s="2" t="s">
        <v>47</v>
      </c>
      <c r="C118" s="21">
        <v>-57.21</v>
      </c>
      <c r="D118" s="2">
        <v>749200</v>
      </c>
      <c r="E118" s="2" t="s">
        <v>47</v>
      </c>
      <c r="F118" s="21">
        <v>-60.29</v>
      </c>
      <c r="G118" s="39" t="s">
        <v>104</v>
      </c>
      <c r="H118" s="40">
        <f>+H76</f>
        <v>2.5000000000000001E-2</v>
      </c>
      <c r="I118" s="2">
        <v>749200</v>
      </c>
      <c r="J118" s="2" t="s">
        <v>47</v>
      </c>
      <c r="K118" s="6">
        <f>LOON!$D$16</f>
        <v>-59.25</v>
      </c>
      <c r="L118" s="6">
        <f t="shared" si="28"/>
        <v>-60.73</v>
      </c>
      <c r="M118" s="97">
        <v>-78.56</v>
      </c>
      <c r="N118" s="6">
        <f>+ROUND(+L118+(L118*$H118),2)</f>
        <v>-62.25</v>
      </c>
      <c r="O118" s="97">
        <v>-105.42</v>
      </c>
      <c r="P118" s="6">
        <f>+ROUND(+N118+(N118*$H118),2)</f>
        <v>-63.81</v>
      </c>
      <c r="Q118" s="6">
        <f>+ROUND(+N118+(N118*$H118),2)</f>
        <v>-63.81</v>
      </c>
      <c r="R118" s="1"/>
      <c r="S118" s="1"/>
      <c r="T118" s="1"/>
    </row>
    <row r="119" spans="1:25" ht="14" x14ac:dyDescent="0.15">
      <c r="A119" s="2">
        <v>749202</v>
      </c>
      <c r="B119" s="2" t="s">
        <v>238</v>
      </c>
      <c r="C119" s="21"/>
      <c r="E119" s="2" t="s">
        <v>238</v>
      </c>
      <c r="F119" s="21"/>
      <c r="G119" s="39"/>
      <c r="H119" s="40"/>
      <c r="I119" s="2"/>
      <c r="J119" s="2" t="s">
        <v>238</v>
      </c>
      <c r="K119" s="6"/>
      <c r="L119" s="6"/>
      <c r="M119" s="97"/>
      <c r="N119" s="6"/>
      <c r="O119" s="97">
        <v>-9339.31</v>
      </c>
      <c r="P119" s="6">
        <v>-5000</v>
      </c>
      <c r="Q119" s="6">
        <v>-5000</v>
      </c>
      <c r="R119" s="1"/>
      <c r="S119" s="1"/>
      <c r="T119" s="1"/>
    </row>
    <row r="120" spans="1:25" ht="14" x14ac:dyDescent="0.15">
      <c r="A120" s="2">
        <v>749300</v>
      </c>
      <c r="B120" s="2" t="s">
        <v>228</v>
      </c>
      <c r="C120" s="21"/>
      <c r="E120" s="2" t="s">
        <v>228</v>
      </c>
      <c r="F120" s="21"/>
      <c r="G120" s="39"/>
      <c r="H120" s="40"/>
      <c r="I120" s="2"/>
      <c r="J120" s="2" t="s">
        <v>228</v>
      </c>
      <c r="K120" s="6"/>
      <c r="L120" s="6"/>
      <c r="M120" s="97">
        <v>-410.92</v>
      </c>
      <c r="N120" s="6"/>
      <c r="O120" s="97">
        <v>-1620.21</v>
      </c>
      <c r="P120" s="6"/>
      <c r="Q120" s="6"/>
      <c r="R120" s="1"/>
      <c r="S120" s="1"/>
      <c r="T120" s="1"/>
    </row>
    <row r="121" spans="1:25" ht="14" x14ac:dyDescent="0.15">
      <c r="A121" s="2">
        <v>749310</v>
      </c>
      <c r="B121" s="2" t="s">
        <v>236</v>
      </c>
      <c r="C121" s="21"/>
      <c r="E121" s="2" t="s">
        <v>236</v>
      </c>
      <c r="F121" s="21"/>
      <c r="G121" s="39"/>
      <c r="H121" s="40"/>
      <c r="I121" s="2"/>
      <c r="J121" s="2" t="s">
        <v>236</v>
      </c>
      <c r="K121" s="6"/>
      <c r="L121" s="6"/>
      <c r="M121" s="97"/>
      <c r="N121" s="6"/>
      <c r="O121" s="97">
        <v>-340</v>
      </c>
      <c r="P121" s="6"/>
      <c r="Q121" s="6"/>
      <c r="R121" s="1"/>
      <c r="S121" s="1"/>
      <c r="T121" s="1"/>
    </row>
    <row r="122" spans="1:25" ht="14" x14ac:dyDescent="0.15">
      <c r="A122" s="2">
        <v>749400</v>
      </c>
      <c r="B122" s="2" t="s">
        <v>237</v>
      </c>
      <c r="C122" s="21"/>
      <c r="E122" s="2" t="s">
        <v>237</v>
      </c>
      <c r="F122" s="21"/>
      <c r="G122" s="39"/>
      <c r="H122" s="40"/>
      <c r="I122" s="2"/>
      <c r="J122" s="2" t="s">
        <v>237</v>
      </c>
      <c r="K122" s="6"/>
      <c r="L122" s="6"/>
      <c r="M122" s="97"/>
      <c r="N122" s="6"/>
      <c r="O122" s="97">
        <v>-3000</v>
      </c>
      <c r="P122" s="6"/>
      <c r="Q122" s="6"/>
      <c r="R122" s="1"/>
      <c r="S122" s="1"/>
      <c r="T122" s="1"/>
    </row>
    <row r="123" spans="1:25" ht="14" x14ac:dyDescent="0.15">
      <c r="A123" s="1"/>
      <c r="B123" s="1"/>
      <c r="C123" s="78"/>
      <c r="D123" s="1"/>
      <c r="E123" s="1"/>
      <c r="F123" s="78"/>
      <c r="G123" s="39"/>
      <c r="H123" s="2"/>
      <c r="K123" s="6"/>
      <c r="L123" s="6"/>
      <c r="M123" s="97"/>
      <c r="N123" s="6"/>
      <c r="O123" s="97"/>
      <c r="P123" s="6"/>
      <c r="Q123" s="6"/>
      <c r="R123" s="1"/>
      <c r="S123" s="1"/>
      <c r="T123" s="1"/>
    </row>
    <row r="124" spans="1:25" ht="14" x14ac:dyDescent="0.15">
      <c r="A124" s="2">
        <v>751000</v>
      </c>
      <c r="B124" s="2" t="s">
        <v>239</v>
      </c>
      <c r="C124" s="78"/>
      <c r="D124" s="1"/>
      <c r="E124" s="2" t="s">
        <v>239</v>
      </c>
      <c r="F124" s="78"/>
      <c r="G124" s="39"/>
      <c r="H124" s="2"/>
      <c r="J124" s="2" t="s">
        <v>239</v>
      </c>
      <c r="K124" s="6"/>
      <c r="L124" s="6"/>
      <c r="M124" s="97"/>
      <c r="N124" s="6"/>
      <c r="O124" s="97">
        <v>-909.5</v>
      </c>
      <c r="P124" s="6"/>
      <c r="Q124" s="6"/>
      <c r="R124" s="1"/>
      <c r="S124" s="1"/>
      <c r="T124" s="1"/>
    </row>
    <row r="125" spans="1:25" ht="14" x14ac:dyDescent="0.15">
      <c r="A125" s="1"/>
      <c r="B125" s="1"/>
      <c r="C125" s="78"/>
      <c r="D125" s="1"/>
      <c r="E125" s="1"/>
      <c r="F125" s="78"/>
      <c r="G125" s="39"/>
      <c r="H125" s="2"/>
      <c r="K125" s="6"/>
      <c r="L125" s="6"/>
      <c r="M125" s="97"/>
      <c r="N125" s="6"/>
      <c r="O125" s="97"/>
      <c r="P125" s="6"/>
      <c r="Q125" s="6"/>
      <c r="R125" s="1"/>
      <c r="S125" s="1"/>
      <c r="T125" s="1"/>
    </row>
    <row r="126" spans="1:25" ht="14" x14ac:dyDescent="0.15">
      <c r="A126" s="2">
        <v>759010</v>
      </c>
      <c r="B126" s="2" t="s">
        <v>65</v>
      </c>
      <c r="C126" s="21"/>
      <c r="D126" s="2">
        <v>759010</v>
      </c>
      <c r="E126" s="2" t="s">
        <v>65</v>
      </c>
      <c r="F126" s="21">
        <v>-0.01</v>
      </c>
      <c r="G126" s="39"/>
      <c r="H126" s="2"/>
      <c r="I126" s="2">
        <v>759010</v>
      </c>
      <c r="J126" s="2" t="s">
        <v>65</v>
      </c>
      <c r="K126" s="6"/>
      <c r="L126" s="6"/>
      <c r="M126" s="97">
        <v>-5.46</v>
      </c>
      <c r="N126" s="6"/>
      <c r="O126" s="97">
        <f>-0.54</f>
        <v>-0.54</v>
      </c>
      <c r="P126" s="6"/>
      <c r="Q126" s="6"/>
      <c r="R126" s="1"/>
      <c r="S126" s="1"/>
      <c r="T126" s="1"/>
    </row>
    <row r="127" spans="1:25" ht="14" x14ac:dyDescent="0.15">
      <c r="C127" s="6"/>
      <c r="F127" s="2"/>
      <c r="G127" s="39"/>
      <c r="H127" s="2"/>
      <c r="K127" s="6"/>
      <c r="L127" s="6"/>
      <c r="M127" s="6"/>
      <c r="N127" s="6"/>
      <c r="O127" s="6"/>
      <c r="P127" s="6"/>
      <c r="Q127" s="6"/>
      <c r="R127" s="1"/>
      <c r="S127" s="1"/>
      <c r="T127" s="1"/>
    </row>
    <row r="128" spans="1:25" ht="14" x14ac:dyDescent="0.15">
      <c r="A128" s="73"/>
      <c r="B128" s="73"/>
      <c r="C128" s="66"/>
      <c r="D128" s="73"/>
      <c r="E128" s="73"/>
      <c r="F128" s="66"/>
      <c r="G128" s="89"/>
      <c r="H128" s="65"/>
      <c r="I128" s="73"/>
      <c r="J128" s="73"/>
      <c r="K128" s="66"/>
      <c r="L128" s="66"/>
      <c r="M128" s="66"/>
      <c r="N128" s="66"/>
      <c r="O128" s="66"/>
      <c r="P128" s="66"/>
      <c r="Q128" s="66"/>
      <c r="R128" s="1"/>
      <c r="S128" s="1"/>
      <c r="T128" s="1"/>
    </row>
    <row r="129" spans="1:20" s="60" customFormat="1" ht="14" x14ac:dyDescent="0.15">
      <c r="A129" s="68"/>
      <c r="B129" s="67" t="s">
        <v>97</v>
      </c>
      <c r="C129" s="69">
        <f t="shared" ref="C129" si="29">SUM(C96:C126)</f>
        <v>-149907.28</v>
      </c>
      <c r="D129" s="68"/>
      <c r="E129" s="67" t="s">
        <v>97</v>
      </c>
      <c r="F129" s="69">
        <f t="shared" ref="F129" si="30">SUM(F96:F126)</f>
        <v>-192053.37000000002</v>
      </c>
      <c r="G129" s="90"/>
      <c r="H129" s="67"/>
      <c r="I129" s="68"/>
      <c r="J129" s="67" t="s">
        <v>97</v>
      </c>
      <c r="K129" s="69">
        <f t="shared" ref="K129:L129" si="31">SUM(K96:K126)</f>
        <v>-182020.32</v>
      </c>
      <c r="L129" s="69">
        <f t="shared" si="31"/>
        <v>-182586.33000000002</v>
      </c>
      <c r="M129" s="69">
        <f t="shared" ref="M129:Q129" si="32">SUM(M96:M126)</f>
        <v>-209895.41</v>
      </c>
      <c r="N129" s="69">
        <f t="shared" si="32"/>
        <v>-169776.49</v>
      </c>
      <c r="O129" s="69">
        <f t="shared" si="32"/>
        <v>-191629.32</v>
      </c>
      <c r="P129" s="69">
        <f t="shared" si="32"/>
        <v>-191882.81</v>
      </c>
      <c r="Q129" s="69">
        <f t="shared" si="32"/>
        <v>-172806.22</v>
      </c>
    </row>
    <row r="130" spans="1:20" s="60" customFormat="1" ht="14" x14ac:dyDescent="0.15">
      <c r="A130" s="75"/>
      <c r="B130" s="74"/>
      <c r="C130" s="76"/>
      <c r="D130" s="75"/>
      <c r="E130" s="74"/>
      <c r="F130" s="76"/>
      <c r="G130" s="92"/>
      <c r="H130" s="74"/>
      <c r="I130" s="75"/>
      <c r="J130" s="74"/>
      <c r="K130" s="76"/>
      <c r="L130" s="76"/>
      <c r="M130" s="76"/>
      <c r="N130" s="76"/>
      <c r="O130" s="76"/>
      <c r="P130" s="76"/>
      <c r="Q130" s="76"/>
    </row>
    <row r="131" spans="1:20" s="60" customFormat="1" ht="14" x14ac:dyDescent="0.15">
      <c r="A131" s="2"/>
      <c r="B131" s="2"/>
      <c r="C131" s="6"/>
      <c r="D131" s="2"/>
      <c r="E131" s="2"/>
      <c r="F131" s="1"/>
      <c r="G131" s="32"/>
      <c r="H131" s="11"/>
      <c r="J131" s="11"/>
      <c r="K131" s="48"/>
      <c r="L131" s="48"/>
      <c r="M131" s="48"/>
      <c r="N131" s="48"/>
      <c r="O131" s="48"/>
      <c r="P131" s="48"/>
      <c r="Q131" s="48"/>
    </row>
    <row r="132" spans="1:20" ht="14" x14ac:dyDescent="0.15">
      <c r="A132" s="73"/>
      <c r="B132" s="73"/>
      <c r="C132" s="66"/>
      <c r="D132" s="73"/>
      <c r="E132" s="73"/>
      <c r="F132" s="66"/>
      <c r="G132" s="89"/>
      <c r="H132" s="65"/>
      <c r="I132" s="73"/>
      <c r="J132" s="73"/>
      <c r="K132" s="66"/>
      <c r="L132" s="66"/>
      <c r="M132" s="66"/>
      <c r="N132" s="66"/>
      <c r="O132" s="66"/>
      <c r="P132" s="66"/>
      <c r="Q132" s="66"/>
      <c r="R132" s="1"/>
      <c r="S132" s="1"/>
      <c r="T132" s="1"/>
    </row>
    <row r="133" spans="1:20" s="60" customFormat="1" ht="14" x14ac:dyDescent="0.15">
      <c r="A133" s="68"/>
      <c r="B133" s="67" t="s">
        <v>186</v>
      </c>
      <c r="C133" s="69">
        <f>-C129-C93</f>
        <v>-23226.129999999946</v>
      </c>
      <c r="D133" s="68"/>
      <c r="E133" s="67" t="s">
        <v>186</v>
      </c>
      <c r="F133" s="69">
        <f>-F129-F93</f>
        <v>0</v>
      </c>
      <c r="G133" s="90"/>
      <c r="H133" s="67"/>
      <c r="I133" s="68"/>
      <c r="J133" s="67" t="s">
        <v>186</v>
      </c>
      <c r="K133" s="69">
        <f t="shared" ref="K133:P133" si="33">-K129-K93</f>
        <v>-17732.79999999993</v>
      </c>
      <c r="L133" s="69">
        <f t="shared" si="33"/>
        <v>-61377.016666666663</v>
      </c>
      <c r="M133" s="69">
        <f t="shared" si="33"/>
        <v>-57362.26999999999</v>
      </c>
      <c r="N133" s="69">
        <f t="shared" si="33"/>
        <v>-70160.123333333409</v>
      </c>
      <c r="O133" s="69">
        <f t="shared" si="33"/>
        <v>-34410.320000000036</v>
      </c>
      <c r="P133" s="69">
        <f t="shared" si="33"/>
        <v>-30331.973333333328</v>
      </c>
      <c r="Q133" s="69">
        <f t="shared" ref="Q133" si="34">-Q129-Q93</f>
        <v>-168948.2233333333</v>
      </c>
    </row>
    <row r="134" spans="1:20" s="60" customFormat="1" ht="14" x14ac:dyDescent="0.15">
      <c r="A134" s="75"/>
      <c r="B134" s="74"/>
      <c r="C134" s="76"/>
      <c r="D134" s="75"/>
      <c r="E134" s="74"/>
      <c r="F134" s="76"/>
      <c r="G134" s="92"/>
      <c r="H134" s="74"/>
      <c r="I134" s="75"/>
      <c r="J134" s="74"/>
      <c r="K134" s="76"/>
      <c r="L134" s="76"/>
      <c r="M134" s="76"/>
      <c r="N134" s="76"/>
      <c r="O134" s="76"/>
      <c r="P134" s="76"/>
      <c r="Q134" s="76"/>
    </row>
    <row r="135" spans="1:20" ht="14" x14ac:dyDescent="0.15">
      <c r="A135" s="1"/>
      <c r="B135" s="1"/>
      <c r="C135" s="1"/>
      <c r="D135" s="1"/>
      <c r="E135" s="1"/>
      <c r="K135" s="6"/>
      <c r="L135" s="6"/>
      <c r="M135" s="6"/>
      <c r="N135" s="6"/>
      <c r="O135" s="6"/>
      <c r="P135" s="6"/>
      <c r="Q135" s="6"/>
      <c r="R135" s="1"/>
      <c r="S135" s="1"/>
      <c r="T135" s="1"/>
    </row>
    <row r="136" spans="1:20" s="60" customFormat="1" ht="14" x14ac:dyDescent="0.15">
      <c r="B136" s="61" t="s">
        <v>187</v>
      </c>
      <c r="C136" s="48">
        <f>+C79+C78</f>
        <v>14745.63</v>
      </c>
      <c r="E136" s="61" t="s">
        <v>187</v>
      </c>
      <c r="F136" s="48">
        <f>+F79+F78</f>
        <v>6084.72</v>
      </c>
      <c r="G136" s="63"/>
      <c r="J136" s="61" t="s">
        <v>187</v>
      </c>
      <c r="K136" s="48">
        <f t="shared" ref="K136:P136" si="35">+K79+K78</f>
        <v>19192.379999999997</v>
      </c>
      <c r="L136" s="48">
        <f t="shared" si="35"/>
        <v>19743.82</v>
      </c>
      <c r="M136" s="99">
        <f t="shared" si="35"/>
        <v>19060.18</v>
      </c>
      <c r="N136" s="48">
        <f t="shared" si="35"/>
        <v>20348.82</v>
      </c>
      <c r="O136" s="99">
        <f t="shared" si="35"/>
        <v>19060.18</v>
      </c>
      <c r="P136" s="48">
        <f t="shared" si="35"/>
        <v>19060.18</v>
      </c>
      <c r="Q136" s="48">
        <f t="shared" ref="Q136" si="36">+Q79+Q78</f>
        <v>138599.84</v>
      </c>
    </row>
    <row r="137" spans="1:20" s="60" customFormat="1" ht="14" x14ac:dyDescent="0.15">
      <c r="B137" s="61" t="s">
        <v>217</v>
      </c>
      <c r="C137" s="48">
        <f>-C117</f>
        <v>22581.07</v>
      </c>
      <c r="E137" s="61" t="s">
        <v>217</v>
      </c>
      <c r="F137" s="48"/>
      <c r="G137" s="63"/>
      <c r="J137" s="61" t="s">
        <v>217</v>
      </c>
      <c r="K137" s="48">
        <f>K117</f>
        <v>-22581.07</v>
      </c>
      <c r="L137" s="48">
        <f>L117</f>
        <v>-23145.599999999999</v>
      </c>
      <c r="M137" s="99">
        <f>M117</f>
        <v>-24819</v>
      </c>
      <c r="N137" s="48">
        <f>-N117</f>
        <v>23724.240000000002</v>
      </c>
      <c r="O137" s="99">
        <f>O117</f>
        <v>-24819</v>
      </c>
      <c r="P137" s="48">
        <v>-5742.41</v>
      </c>
      <c r="Q137" s="48">
        <v>-5742.41</v>
      </c>
    </row>
    <row r="138" spans="1:20" s="60" customFormat="1" ht="14" x14ac:dyDescent="0.15">
      <c r="C138" s="6"/>
      <c r="D138" s="2"/>
      <c r="F138" s="6"/>
      <c r="G138" s="63"/>
      <c r="K138" s="48"/>
      <c r="L138" s="48"/>
      <c r="M138" s="99"/>
      <c r="N138" s="48"/>
      <c r="O138" s="99"/>
      <c r="P138" s="48"/>
      <c r="Q138" s="48"/>
    </row>
    <row r="139" spans="1:20" s="60" customFormat="1" ht="14" x14ac:dyDescent="0.15">
      <c r="B139" s="60" t="s">
        <v>188</v>
      </c>
      <c r="C139" s="48">
        <f t="shared" ref="C139" si="37">+C133+C136+C137</f>
        <v>14100.570000000052</v>
      </c>
      <c r="E139" s="60" t="s">
        <v>188</v>
      </c>
      <c r="F139" s="48">
        <f t="shared" ref="F139" si="38">+F133+F136+F137</f>
        <v>6084.72</v>
      </c>
      <c r="G139" s="63"/>
      <c r="J139" s="60" t="s">
        <v>188</v>
      </c>
      <c r="K139" s="48">
        <f t="shared" ref="K139:O139" si="39">+K133+K136+K137</f>
        <v>-21121.489999999932</v>
      </c>
      <c r="L139" s="48">
        <f t="shared" si="39"/>
        <v>-64778.796666666662</v>
      </c>
      <c r="M139" s="99">
        <f t="shared" si="39"/>
        <v>-63121.089999999989</v>
      </c>
      <c r="N139" s="48">
        <f t="shared" si="39"/>
        <v>-26087.063333333408</v>
      </c>
      <c r="O139" s="99">
        <f t="shared" si="39"/>
        <v>-40169.140000000036</v>
      </c>
      <c r="P139" s="48">
        <f>+P133+P136+P137</f>
        <v>-17014.203333333327</v>
      </c>
      <c r="Q139" s="48">
        <f>+Q133+Q136+Q137</f>
        <v>-36090.793333333306</v>
      </c>
    </row>
    <row r="140" spans="1:20" s="60" customFormat="1" ht="14" x14ac:dyDescent="0.15">
      <c r="F140" s="1"/>
      <c r="G140" s="63"/>
      <c r="K140" s="48"/>
      <c r="L140" s="48"/>
      <c r="M140" s="99"/>
      <c r="N140" s="48"/>
      <c r="O140" s="99"/>
      <c r="P140" s="48"/>
      <c r="Q140" s="48"/>
    </row>
    <row r="141" spans="1:20" s="60" customFormat="1" ht="14" x14ac:dyDescent="0.15">
      <c r="A141" s="2"/>
      <c r="B141" s="2"/>
      <c r="C141" s="6"/>
      <c r="D141" s="2"/>
      <c r="E141" s="2"/>
      <c r="F141" s="1"/>
      <c r="G141" s="63"/>
      <c r="J141" s="77" t="s">
        <v>209</v>
      </c>
      <c r="K141" s="11"/>
      <c r="L141" s="11"/>
      <c r="M141" s="100"/>
      <c r="N141" s="11"/>
      <c r="O141" s="100"/>
      <c r="P141" s="11"/>
      <c r="Q141" s="11"/>
    </row>
    <row r="142" spans="1:20" s="60" customFormat="1" ht="14" x14ac:dyDescent="0.15">
      <c r="F142" s="1"/>
      <c r="G142" s="93" t="s">
        <v>210</v>
      </c>
      <c r="J142" s="1" t="s">
        <v>202</v>
      </c>
      <c r="K142" s="6">
        <v>78520.89</v>
      </c>
      <c r="L142" s="11"/>
      <c r="M142" s="99">
        <v>1790.34</v>
      </c>
      <c r="N142" s="11"/>
      <c r="O142" s="99">
        <v>20132.37</v>
      </c>
      <c r="P142" s="11"/>
      <c r="Q142" s="11"/>
    </row>
    <row r="143" spans="1:20" s="60" customFormat="1" ht="14" x14ac:dyDescent="0.15">
      <c r="D143" s="2"/>
      <c r="E143" s="2"/>
      <c r="F143" s="1"/>
      <c r="G143" s="93" t="s">
        <v>210</v>
      </c>
      <c r="J143" s="1" t="s">
        <v>203</v>
      </c>
      <c r="K143" s="6">
        <v>176500</v>
      </c>
      <c r="L143" s="11"/>
      <c r="M143" s="99">
        <v>146500</v>
      </c>
      <c r="N143" s="11"/>
      <c r="O143" s="99">
        <v>77377.52</v>
      </c>
      <c r="P143" s="11"/>
      <c r="Q143" s="11"/>
    </row>
    <row r="144" spans="1:20" s="60" customFormat="1" ht="14" x14ac:dyDescent="0.15">
      <c r="A144" s="2"/>
      <c r="B144" s="2"/>
      <c r="C144" s="6"/>
      <c r="D144" s="2"/>
      <c r="E144" s="2"/>
      <c r="F144" s="1"/>
      <c r="G144" s="93" t="s">
        <v>210</v>
      </c>
      <c r="J144" s="1" t="s">
        <v>204</v>
      </c>
      <c r="K144" s="6">
        <v>117.19</v>
      </c>
      <c r="L144" s="11"/>
      <c r="M144" s="99">
        <v>163.38</v>
      </c>
      <c r="N144" s="11"/>
      <c r="O144" s="99">
        <v>68.11</v>
      </c>
      <c r="P144" s="11"/>
      <c r="Q144" s="11"/>
    </row>
    <row r="145" spans="1:20" s="60" customFormat="1" ht="14" x14ac:dyDescent="0.15">
      <c r="A145" s="2"/>
      <c r="B145" s="2"/>
      <c r="C145" s="6"/>
      <c r="F145" s="1"/>
      <c r="G145" s="93" t="s">
        <v>210</v>
      </c>
      <c r="J145" s="1" t="s">
        <v>205</v>
      </c>
      <c r="K145" s="6">
        <v>100000</v>
      </c>
      <c r="L145" s="11"/>
      <c r="M145" s="99">
        <v>100000</v>
      </c>
      <c r="N145" s="11"/>
      <c r="O145" s="99">
        <v>100661.17</v>
      </c>
      <c r="P145" s="11"/>
      <c r="Q145" s="11"/>
    </row>
    <row r="146" spans="1:20" ht="14" x14ac:dyDescent="0.15">
      <c r="C146" s="6"/>
      <c r="D146" s="1"/>
      <c r="E146" s="1"/>
      <c r="J146" s="1" t="s">
        <v>249</v>
      </c>
      <c r="M146" s="98"/>
      <c r="O146" s="99">
        <v>302</v>
      </c>
      <c r="R146" s="1"/>
      <c r="S146" s="1"/>
      <c r="T146" s="1"/>
    </row>
    <row r="147" spans="1:20" ht="14" x14ac:dyDescent="0.15">
      <c r="B147" s="60"/>
      <c r="C147" s="48"/>
      <c r="D147" s="48"/>
      <c r="E147" s="48"/>
      <c r="F147" s="48"/>
      <c r="J147" s="60" t="s">
        <v>206</v>
      </c>
      <c r="K147" s="48">
        <f>SUM(K142:K146)</f>
        <v>355138.08</v>
      </c>
      <c r="L147" s="48">
        <f>+K152</f>
        <v>316229.59000000008</v>
      </c>
      <c r="M147" s="99">
        <v>322057.28000000003</v>
      </c>
      <c r="N147" s="48">
        <f>+L152</f>
        <v>247457.79333333342</v>
      </c>
      <c r="O147" s="99">
        <f>SUM(M142:M145)</f>
        <v>248453.72</v>
      </c>
      <c r="P147" s="48">
        <v>198541.17</v>
      </c>
      <c r="Q147" s="48">
        <v>198541.17</v>
      </c>
      <c r="R147" s="1"/>
      <c r="S147" s="1"/>
      <c r="T147" s="1"/>
    </row>
    <row r="148" spans="1:20" ht="14" x14ac:dyDescent="0.15">
      <c r="A148" s="1"/>
      <c r="B148" s="1"/>
      <c r="C148" s="1"/>
      <c r="D148" s="1"/>
      <c r="E148" s="1"/>
      <c r="K148" s="6"/>
      <c r="M148" s="98"/>
      <c r="O148" s="98"/>
      <c r="R148" s="1"/>
      <c r="S148" s="1"/>
      <c r="T148" s="1"/>
    </row>
    <row r="149" spans="1:20" ht="14" x14ac:dyDescent="0.15">
      <c r="J149" s="62" t="s">
        <v>196</v>
      </c>
      <c r="K149" s="48"/>
      <c r="L149" s="48"/>
      <c r="M149" s="99"/>
      <c r="N149" s="48"/>
      <c r="O149" s="99"/>
      <c r="P149" s="48"/>
      <c r="Q149" s="48"/>
      <c r="R149" s="1"/>
      <c r="S149" s="1"/>
      <c r="T149" s="1"/>
    </row>
    <row r="150" spans="1:20" ht="14" x14ac:dyDescent="0.15">
      <c r="A150" s="1"/>
      <c r="B150" s="1"/>
      <c r="C150" s="1"/>
      <c r="D150" s="1"/>
      <c r="E150" s="1"/>
      <c r="G150" s="93" t="s">
        <v>211</v>
      </c>
      <c r="J150" s="60" t="s">
        <v>189</v>
      </c>
      <c r="K150" s="48">
        <f>-INVESTERINGEN!$C$10</f>
        <v>-17787</v>
      </c>
      <c r="L150" s="48">
        <f>-INVESTERINGEN!$D$10</f>
        <v>-3993</v>
      </c>
      <c r="M150" s="99">
        <f>-6425.1-12620.3</f>
        <v>-19045.400000000001</v>
      </c>
      <c r="N150" s="48">
        <f>-INVESTERINGEN!$E$10</f>
        <v>-2420</v>
      </c>
      <c r="O150" s="99">
        <v>0</v>
      </c>
      <c r="P150" s="48">
        <f>-INVESTERINGEN!$F$10</f>
        <v>-2420</v>
      </c>
      <c r="Q150" s="48">
        <f>-INVESTERINGEN!$F$10</f>
        <v>-2420</v>
      </c>
      <c r="R150" s="1"/>
      <c r="S150" s="1"/>
      <c r="T150" s="1"/>
    </row>
    <row r="151" spans="1:20" ht="14" x14ac:dyDescent="0.15">
      <c r="C151" s="6"/>
      <c r="J151" s="60"/>
      <c r="K151" s="11"/>
      <c r="L151" s="11"/>
      <c r="M151" s="100"/>
      <c r="N151" s="11"/>
      <c r="O151" s="100"/>
      <c r="P151" s="11"/>
      <c r="Q151" s="11"/>
      <c r="R151" s="1"/>
      <c r="S151" s="1"/>
      <c r="T151" s="1"/>
    </row>
    <row r="152" spans="1:20" ht="14" x14ac:dyDescent="0.15">
      <c r="A152" s="1"/>
      <c r="B152" s="1"/>
      <c r="C152" s="1"/>
      <c r="D152" s="1"/>
      <c r="E152" s="1"/>
      <c r="J152" s="60" t="s">
        <v>197</v>
      </c>
      <c r="K152" s="48">
        <f t="shared" ref="K152:O152" si="40">+K139+K147+K150</f>
        <v>316229.59000000008</v>
      </c>
      <c r="L152" s="48">
        <f t="shared" si="40"/>
        <v>247457.79333333342</v>
      </c>
      <c r="M152" s="99">
        <f t="shared" si="40"/>
        <v>239890.79000000004</v>
      </c>
      <c r="N152" s="48">
        <f t="shared" si="40"/>
        <v>218950.73</v>
      </c>
      <c r="O152" s="99">
        <f t="shared" si="40"/>
        <v>208284.57999999996</v>
      </c>
      <c r="P152" s="48">
        <f>+P139+P147+P150</f>
        <v>179106.96666666667</v>
      </c>
      <c r="Q152" s="48">
        <f t="shared" ref="Q152" si="41">+Q139+Q147+Q150</f>
        <v>160030.37666666671</v>
      </c>
      <c r="R152" s="1"/>
      <c r="S152" s="1"/>
      <c r="T152" s="1"/>
    </row>
    <row r="153" spans="1:20" ht="14" x14ac:dyDescent="0.15">
      <c r="C153" s="6"/>
      <c r="F153" s="6"/>
      <c r="M153" s="98"/>
      <c r="O153" s="98"/>
      <c r="R153" s="1"/>
      <c r="S153" s="1"/>
      <c r="T153" s="1"/>
    </row>
    <row r="154" spans="1:20" thickBot="1" x14ac:dyDescent="0.2">
      <c r="F154" s="2"/>
      <c r="J154" s="60" t="s">
        <v>207</v>
      </c>
      <c r="K154" s="64">
        <f t="shared" ref="K154:P154" si="42">+K139+K150</f>
        <v>-38908.489999999932</v>
      </c>
      <c r="L154" s="64">
        <f t="shared" si="42"/>
        <v>-68771.796666666662</v>
      </c>
      <c r="M154" s="101">
        <f t="shared" si="42"/>
        <v>-82166.489999999991</v>
      </c>
      <c r="N154" s="64">
        <f t="shared" si="42"/>
        <v>-28507.063333333408</v>
      </c>
      <c r="O154" s="101">
        <f t="shared" si="42"/>
        <v>-40169.140000000036</v>
      </c>
      <c r="P154" s="64">
        <f t="shared" si="42"/>
        <v>-19434.203333333327</v>
      </c>
      <c r="Q154" s="64">
        <f t="shared" ref="Q154" si="43">+Q139+Q150</f>
        <v>-38510.793333333306</v>
      </c>
      <c r="R154" s="1"/>
      <c r="S154" s="1"/>
      <c r="T154" s="1"/>
    </row>
    <row r="155" spans="1:20" ht="14" x14ac:dyDescent="0.15">
      <c r="A155" s="14"/>
      <c r="B155" s="14"/>
      <c r="C155" s="15"/>
      <c r="D155" s="14"/>
      <c r="E155" s="14"/>
      <c r="F155" s="15"/>
      <c r="R155" s="1"/>
      <c r="S155" s="1"/>
      <c r="T155" s="1"/>
    </row>
    <row r="156" spans="1:20" ht="14" x14ac:dyDescent="0.15">
      <c r="A156" s="16"/>
      <c r="B156" s="16" t="s">
        <v>97</v>
      </c>
      <c r="C156" s="17">
        <f>SUM(C96:C127)</f>
        <v>-149907.28</v>
      </c>
      <c r="D156" s="16"/>
      <c r="E156" s="16" t="s">
        <v>97</v>
      </c>
      <c r="F156" s="17">
        <f>SUM(F96:F127)</f>
        <v>-192053.37000000002</v>
      </c>
      <c r="R156" s="1"/>
      <c r="S156" s="1"/>
      <c r="T156" s="1"/>
    </row>
    <row r="157" spans="1:20" ht="14" x14ac:dyDescent="0.15">
      <c r="A157" s="16"/>
      <c r="B157" s="16" t="s">
        <v>98</v>
      </c>
      <c r="C157" s="17">
        <v>-127326.21</v>
      </c>
      <c r="D157" s="16"/>
      <c r="E157" s="16" t="s">
        <v>98</v>
      </c>
      <c r="F157" s="17">
        <v>-192053.37</v>
      </c>
      <c r="R157" s="1"/>
      <c r="S157" s="1"/>
      <c r="T157" s="1"/>
    </row>
    <row r="158" spans="1:20" ht="14" x14ac:dyDescent="0.15">
      <c r="A158" s="16"/>
      <c r="B158" s="16" t="s">
        <v>99</v>
      </c>
      <c r="C158" s="17">
        <f>+C156-C157</f>
        <v>-22581.069999999992</v>
      </c>
      <c r="D158" s="16"/>
      <c r="E158" s="16" t="s">
        <v>99</v>
      </c>
      <c r="F158" s="17">
        <f>+F156-F157</f>
        <v>0</v>
      </c>
      <c r="R158" s="1"/>
      <c r="S158" s="1"/>
      <c r="T158" s="1"/>
    </row>
    <row r="159" spans="1:20" ht="14" x14ac:dyDescent="0.15">
      <c r="A159" s="16"/>
      <c r="B159" s="16"/>
      <c r="C159" s="17"/>
      <c r="D159" s="16"/>
      <c r="E159" s="16"/>
      <c r="F159" s="17"/>
      <c r="R159" s="1"/>
      <c r="S159" s="1"/>
      <c r="T159" s="1"/>
    </row>
    <row r="160" spans="1:20" ht="14" x14ac:dyDescent="0.15">
      <c r="A160" s="16"/>
      <c r="B160" s="16" t="s">
        <v>100</v>
      </c>
      <c r="C160" s="17">
        <v>162838.39000000001</v>
      </c>
      <c r="D160" s="16"/>
      <c r="E160" s="16" t="s">
        <v>100</v>
      </c>
      <c r="F160" s="17">
        <f>-F157</f>
        <v>192053.37</v>
      </c>
      <c r="R160" s="1"/>
      <c r="S160" s="1"/>
      <c r="T160" s="1"/>
    </row>
    <row r="161" spans="1:20" ht="14" x14ac:dyDescent="0.15">
      <c r="A161" s="16"/>
      <c r="B161" s="16" t="s">
        <v>102</v>
      </c>
      <c r="C161" s="17">
        <f>SUM(C4:C90)</f>
        <v>173133.40999999995</v>
      </c>
      <c r="D161" s="16"/>
      <c r="E161" s="16" t="s">
        <v>102</v>
      </c>
      <c r="F161" s="17">
        <f>SUM(F4:F90)</f>
        <v>192053.37</v>
      </c>
      <c r="R161" s="1"/>
      <c r="S161" s="1"/>
      <c r="T161" s="1"/>
    </row>
    <row r="162" spans="1:20" thickBot="1" x14ac:dyDescent="0.2">
      <c r="A162" s="18"/>
      <c r="B162" s="18" t="s">
        <v>99</v>
      </c>
      <c r="C162" s="19">
        <f>+C160-C161</f>
        <v>-10295.019999999931</v>
      </c>
      <c r="D162" s="18"/>
      <c r="E162" s="18" t="s">
        <v>99</v>
      </c>
      <c r="F162" s="19">
        <f>+F160-F161</f>
        <v>0</v>
      </c>
      <c r="R162" s="1"/>
      <c r="S162" s="1"/>
      <c r="T162" s="1"/>
    </row>
    <row r="163" spans="1:20" ht="14" x14ac:dyDescent="0.15">
      <c r="R163" s="1"/>
      <c r="S163" s="1"/>
      <c r="T163" s="1"/>
    </row>
    <row r="164" spans="1:20" ht="14" x14ac:dyDescent="0.15">
      <c r="R164" s="1"/>
      <c r="S164" s="1"/>
      <c r="T164" s="1"/>
    </row>
    <row r="165" spans="1:20" ht="14" x14ac:dyDescent="0.15">
      <c r="R165" s="1"/>
      <c r="S165" s="1"/>
      <c r="T165" s="1"/>
    </row>
    <row r="166" spans="1:20" ht="14" x14ac:dyDescent="0.15">
      <c r="R166" s="1"/>
      <c r="S166" s="1"/>
      <c r="T166" s="1"/>
    </row>
    <row r="167" spans="1:20" ht="14" x14ac:dyDescent="0.15">
      <c r="R167" s="1"/>
      <c r="S167" s="1"/>
      <c r="T167" s="1"/>
    </row>
    <row r="168" spans="1:20" ht="14" x14ac:dyDescent="0.15">
      <c r="R168" s="1"/>
      <c r="S168" s="1"/>
      <c r="T168" s="1"/>
    </row>
    <row r="169" spans="1:20" ht="14" x14ac:dyDescent="0.15">
      <c r="R169" s="1"/>
      <c r="S169" s="1"/>
      <c r="T169" s="1"/>
    </row>
    <row r="170" spans="1:20" ht="14" x14ac:dyDescent="0.15">
      <c r="R170" s="1"/>
      <c r="S170" s="1"/>
      <c r="T170" s="1"/>
    </row>
    <row r="171" spans="1:20" ht="14" x14ac:dyDescent="0.15">
      <c r="R171" s="1"/>
      <c r="S171" s="1"/>
      <c r="T171" s="1"/>
    </row>
    <row r="172" spans="1:20" ht="14" x14ac:dyDescent="0.15">
      <c r="R172" s="1"/>
      <c r="S172" s="1"/>
      <c r="T172" s="1"/>
    </row>
    <row r="173" spans="1:20" ht="14" x14ac:dyDescent="0.15">
      <c r="R173" s="1"/>
      <c r="S173" s="1"/>
      <c r="T173" s="1"/>
    </row>
    <row r="174" spans="1:20" ht="14" x14ac:dyDescent="0.15">
      <c r="R174" s="1"/>
      <c r="S174" s="1"/>
      <c r="T174" s="1"/>
    </row>
    <row r="175" spans="1:20" ht="14" x14ac:dyDescent="0.15">
      <c r="R175" s="1"/>
      <c r="S175" s="1"/>
      <c r="T175" s="1"/>
    </row>
    <row r="176" spans="1:20" ht="14" x14ac:dyDescent="0.15">
      <c r="R176" s="1"/>
      <c r="S176" s="1"/>
      <c r="T176" s="1"/>
    </row>
    <row r="177" spans="18:20" ht="14" x14ac:dyDescent="0.15">
      <c r="R177" s="1"/>
      <c r="S177" s="1"/>
      <c r="T177" s="1"/>
    </row>
    <row r="178" spans="18:20" ht="14" x14ac:dyDescent="0.15">
      <c r="R178" s="1"/>
      <c r="S178" s="1"/>
      <c r="T178" s="1"/>
    </row>
    <row r="179" spans="18:20" ht="14" x14ac:dyDescent="0.15">
      <c r="R179" s="1"/>
      <c r="S179" s="1"/>
      <c r="T179" s="1"/>
    </row>
    <row r="180" spans="18:20" ht="14" x14ac:dyDescent="0.15">
      <c r="R180" s="1"/>
      <c r="S180" s="1"/>
      <c r="T180" s="1"/>
    </row>
    <row r="181" spans="18:20" ht="14" x14ac:dyDescent="0.15">
      <c r="R181" s="1"/>
      <c r="S181" s="1"/>
      <c r="T181" s="1"/>
    </row>
    <row r="182" spans="18:20" ht="14" x14ac:dyDescent="0.15">
      <c r="R182" s="1"/>
      <c r="S182" s="1"/>
      <c r="T182" s="1"/>
    </row>
    <row r="183" spans="18:20" ht="14" x14ac:dyDescent="0.15">
      <c r="R183" s="1"/>
      <c r="S183" s="1"/>
      <c r="T183" s="1"/>
    </row>
    <row r="184" spans="18:20" ht="14" x14ac:dyDescent="0.15">
      <c r="R184" s="1"/>
      <c r="S184" s="1"/>
      <c r="T184" s="1"/>
    </row>
    <row r="185" spans="18:20" ht="14" x14ac:dyDescent="0.15">
      <c r="R185" s="1"/>
      <c r="S185" s="1"/>
      <c r="T185" s="1"/>
    </row>
  </sheetData>
  <mergeCells count="6">
    <mergeCell ref="H53:H54"/>
    <mergeCell ref="Q53:Q54"/>
    <mergeCell ref="K53:K54"/>
    <mergeCell ref="L53:L54"/>
    <mergeCell ref="N53:N54"/>
    <mergeCell ref="P53:P5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9FC90-5276-4070-9B17-1E25879D3773}">
  <dimension ref="A1:G25"/>
  <sheetViews>
    <sheetView workbookViewId="0">
      <selection activeCell="C13" sqref="C13"/>
    </sheetView>
  </sheetViews>
  <sheetFormatPr baseColWidth="10" defaultColWidth="8.83203125" defaultRowHeight="15" x14ac:dyDescent="0.2"/>
  <cols>
    <col min="2" max="2" width="10.6640625" bestFit="1" customWidth="1"/>
    <col min="3" max="3" width="10.6640625" style="108" bestFit="1" customWidth="1"/>
    <col min="5" max="5" width="9.6640625" bestFit="1" customWidth="1"/>
  </cols>
  <sheetData>
    <row r="1" spans="1:7" x14ac:dyDescent="0.2">
      <c r="A1">
        <v>7</v>
      </c>
      <c r="C1" s="108">
        <f>226039.64-34410.32</f>
        <v>191629.32</v>
      </c>
    </row>
    <row r="2" spans="1:7" x14ac:dyDescent="0.2">
      <c r="C2" s="108">
        <v>-24819</v>
      </c>
    </row>
    <row r="4" spans="1:7" x14ac:dyDescent="0.2">
      <c r="A4" s="111">
        <v>7</v>
      </c>
      <c r="B4" s="111"/>
      <c r="C4" s="112">
        <f>SUM(C1:C3)</f>
        <v>166810.32</v>
      </c>
      <c r="D4" s="111"/>
    </row>
    <row r="6" spans="1:7" x14ac:dyDescent="0.2">
      <c r="A6">
        <v>6</v>
      </c>
      <c r="C6" s="108">
        <v>-226039.64</v>
      </c>
    </row>
    <row r="7" spans="1:7" x14ac:dyDescent="0.2">
      <c r="A7" t="s">
        <v>250</v>
      </c>
      <c r="C7" s="108">
        <v>19060.18</v>
      </c>
    </row>
    <row r="8" spans="1:7" x14ac:dyDescent="0.2">
      <c r="A8" t="s">
        <v>253</v>
      </c>
      <c r="C8" s="108">
        <v>508</v>
      </c>
    </row>
    <row r="9" spans="1:7" x14ac:dyDescent="0.2">
      <c r="A9" t="s">
        <v>252</v>
      </c>
      <c r="C9" s="108">
        <v>-1519</v>
      </c>
    </row>
    <row r="10" spans="1:7" x14ac:dyDescent="0.2">
      <c r="A10" t="s">
        <v>255</v>
      </c>
      <c r="C10" s="108">
        <v>-3.8</v>
      </c>
    </row>
    <row r="11" spans="1:7" x14ac:dyDescent="0.2">
      <c r="A11" s="111">
        <v>6</v>
      </c>
      <c r="B11" s="111"/>
      <c r="C11" s="112">
        <f>SUM(C6:C10)</f>
        <v>-207994.26</v>
      </c>
      <c r="D11" s="111"/>
    </row>
    <row r="13" spans="1:7" x14ac:dyDescent="0.2">
      <c r="A13" s="109" t="s">
        <v>251</v>
      </c>
      <c r="B13" s="109"/>
      <c r="C13" s="110">
        <f>+C4+C11</f>
        <v>-41183.94</v>
      </c>
      <c r="D13" s="109"/>
      <c r="E13" s="110">
        <f>+E24</f>
        <v>-41183.939999999981</v>
      </c>
      <c r="G13" s="108">
        <f>-E13+C13</f>
        <v>0</v>
      </c>
    </row>
    <row r="15" spans="1:7" x14ac:dyDescent="0.2">
      <c r="A15" s="115"/>
      <c r="B15" s="116">
        <v>45291</v>
      </c>
      <c r="C15" s="116">
        <v>45657</v>
      </c>
      <c r="D15" s="115"/>
      <c r="E15" s="117" t="s">
        <v>254</v>
      </c>
    </row>
    <row r="16" spans="1:7" x14ac:dyDescent="0.2">
      <c r="A16">
        <v>400</v>
      </c>
      <c r="B16" s="108">
        <v>2479</v>
      </c>
      <c r="C16" s="108">
        <v>1236</v>
      </c>
      <c r="D16" s="108"/>
      <c r="E16" s="108">
        <f>+C16-B16</f>
        <v>-1243</v>
      </c>
    </row>
    <row r="17" spans="1:5" x14ac:dyDescent="0.2">
      <c r="A17">
        <v>550</v>
      </c>
      <c r="B17" s="108">
        <v>249108.71</v>
      </c>
      <c r="C17" s="108">
        <v>198541.17</v>
      </c>
      <c r="D17" s="108"/>
      <c r="E17" s="108">
        <f>+C17-B17</f>
        <v>-50567.539999999979</v>
      </c>
    </row>
    <row r="18" spans="1:5" x14ac:dyDescent="0.2">
      <c r="A18">
        <v>429</v>
      </c>
      <c r="B18" s="108">
        <v>41569</v>
      </c>
      <c r="C18" s="108">
        <v>16750</v>
      </c>
      <c r="D18" s="108"/>
      <c r="E18" s="108"/>
    </row>
    <row r="19" spans="1:5" x14ac:dyDescent="0.2">
      <c r="A19">
        <v>440</v>
      </c>
      <c r="B19" s="108">
        <v>22528.82</v>
      </c>
      <c r="C19" s="108">
        <v>9622.36</v>
      </c>
      <c r="D19" s="108"/>
      <c r="E19" s="108">
        <f>-(+C19-B19)</f>
        <v>12906.46</v>
      </c>
    </row>
    <row r="20" spans="1:5" x14ac:dyDescent="0.2">
      <c r="A20">
        <v>453</v>
      </c>
      <c r="B20" s="108">
        <v>1764.35</v>
      </c>
      <c r="C20" s="108">
        <v>1216.93</v>
      </c>
      <c r="D20" s="108"/>
      <c r="E20" s="108">
        <f>-(+C20-B20)</f>
        <v>547.41999999999985</v>
      </c>
    </row>
    <row r="21" spans="1:5" x14ac:dyDescent="0.2">
      <c r="A21">
        <v>455</v>
      </c>
      <c r="B21" s="108">
        <v>7655.68</v>
      </c>
      <c r="C21" s="108">
        <v>10483</v>
      </c>
      <c r="D21" s="108"/>
      <c r="E21" s="108">
        <f>-(+C21-B21)</f>
        <v>-2827.3199999999997</v>
      </c>
    </row>
    <row r="22" spans="1:5" x14ac:dyDescent="0.2">
      <c r="A22">
        <v>492000</v>
      </c>
      <c r="B22" s="108">
        <v>295.73</v>
      </c>
      <c r="C22" s="108">
        <v>295.73</v>
      </c>
      <c r="D22" s="108"/>
      <c r="E22" s="108">
        <f>-(+C22-B22)</f>
        <v>0</v>
      </c>
    </row>
    <row r="23" spans="1:5" x14ac:dyDescent="0.2">
      <c r="A23">
        <v>490000</v>
      </c>
      <c r="B23" s="108">
        <v>3771.02</v>
      </c>
      <c r="C23" s="108">
        <v>3771.06</v>
      </c>
      <c r="D23" s="108"/>
      <c r="E23" s="108">
        <f>+C23-B23</f>
        <v>3.999999999996362E-2</v>
      </c>
    </row>
    <row r="24" spans="1:5" x14ac:dyDescent="0.2">
      <c r="A24" s="113"/>
      <c r="B24" s="114">
        <f>SUM(B16:B23)</f>
        <v>329172.30999999994</v>
      </c>
      <c r="C24" s="114">
        <f>SUM(C16:C23)</f>
        <v>241916.25000000003</v>
      </c>
      <c r="D24" s="114"/>
      <c r="E24" s="114">
        <f>SUM(E16:E23)</f>
        <v>-41183.939999999981</v>
      </c>
    </row>
    <row r="25" spans="1:5" x14ac:dyDescent="0.2">
      <c r="B25" s="108"/>
      <c r="D25" s="108"/>
      <c r="E25" s="108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FFB1-CD4C-45D3-9DC0-51492926ACF7}">
  <dimension ref="A1:BH58"/>
  <sheetViews>
    <sheetView workbookViewId="0">
      <selection activeCell="AS56" sqref="AS56"/>
    </sheetView>
  </sheetViews>
  <sheetFormatPr baseColWidth="10" defaultColWidth="9.1640625" defaultRowHeight="13" x14ac:dyDescent="0.15"/>
  <cols>
    <col min="1" max="1" width="20.33203125" style="39" bestFit="1" customWidth="1"/>
    <col min="2" max="2" width="8.1640625" style="39" hidden="1" customWidth="1"/>
    <col min="3" max="3" width="3.5" style="39" hidden="1" customWidth="1"/>
    <col min="4" max="4" width="24.33203125" style="2" bestFit="1" customWidth="1"/>
    <col min="5" max="5" width="3.83203125" style="39" bestFit="1" customWidth="1"/>
    <col min="6" max="6" width="7.33203125" style="40" bestFit="1" customWidth="1"/>
    <col min="7" max="8" width="9.83203125" style="2" bestFit="1" customWidth="1"/>
    <col min="9" max="9" width="9.1640625" style="2" hidden="1" customWidth="1"/>
    <col min="10" max="10" width="9.83203125" style="2" bestFit="1" customWidth="1"/>
    <col min="11" max="11" width="10.1640625" style="2" hidden="1" customWidth="1"/>
    <col min="12" max="13" width="9.1640625" style="2" hidden="1" customWidth="1"/>
    <col min="14" max="14" width="10.1640625" style="2" hidden="1" customWidth="1"/>
    <col min="15" max="16" width="9.1640625" style="2" hidden="1" customWidth="1"/>
    <col min="17" max="40" width="10.1640625" style="2" hidden="1" customWidth="1"/>
    <col min="41" max="47" width="10.1640625" style="2" customWidth="1"/>
    <col min="48" max="50" width="9.83203125" style="2" hidden="1" customWidth="1"/>
    <col min="51" max="56" width="10.1640625" style="2" hidden="1" customWidth="1"/>
    <col min="57" max="57" width="10.1640625" style="2" customWidth="1"/>
    <col min="58" max="60" width="10.1640625" style="2" bestFit="1" customWidth="1"/>
    <col min="61" max="16384" width="9.1640625" style="2"/>
  </cols>
  <sheetData>
    <row r="1" spans="1:60" x14ac:dyDescent="0.15">
      <c r="A1" s="27" t="s">
        <v>105</v>
      </c>
      <c r="B1" s="28" t="s">
        <v>243</v>
      </c>
      <c r="C1" s="28" t="s">
        <v>244</v>
      </c>
      <c r="D1" s="28" t="s">
        <v>106</v>
      </c>
      <c r="E1" s="28" t="s">
        <v>107</v>
      </c>
      <c r="F1" s="29" t="s">
        <v>108</v>
      </c>
      <c r="G1" s="28" t="s">
        <v>109</v>
      </c>
      <c r="H1" s="30" t="s">
        <v>110</v>
      </c>
      <c r="I1" s="30" t="s">
        <v>111</v>
      </c>
      <c r="J1" s="28" t="s">
        <v>109</v>
      </c>
      <c r="K1" s="28" t="s">
        <v>112</v>
      </c>
      <c r="L1" s="30" t="s">
        <v>110</v>
      </c>
      <c r="M1" s="30" t="s">
        <v>111</v>
      </c>
      <c r="N1" s="28" t="s">
        <v>112</v>
      </c>
      <c r="O1" s="30" t="s">
        <v>110</v>
      </c>
      <c r="P1" s="30" t="s">
        <v>111</v>
      </c>
      <c r="Q1" s="28" t="s">
        <v>112</v>
      </c>
      <c r="R1" s="30" t="s">
        <v>110</v>
      </c>
      <c r="S1" s="30" t="s">
        <v>111</v>
      </c>
      <c r="T1" s="28" t="s">
        <v>112</v>
      </c>
      <c r="U1" s="30" t="s">
        <v>110</v>
      </c>
      <c r="V1" s="30" t="s">
        <v>111</v>
      </c>
      <c r="W1" s="28" t="s">
        <v>112</v>
      </c>
      <c r="X1" s="30" t="s">
        <v>110</v>
      </c>
      <c r="Y1" s="30" t="s">
        <v>111</v>
      </c>
      <c r="Z1" s="28" t="s">
        <v>112</v>
      </c>
      <c r="AA1" s="30" t="s">
        <v>110</v>
      </c>
      <c r="AB1" s="30" t="s">
        <v>111</v>
      </c>
      <c r="AC1" s="28" t="s">
        <v>112</v>
      </c>
      <c r="AD1" s="30" t="s">
        <v>110</v>
      </c>
      <c r="AE1" s="30" t="s">
        <v>111</v>
      </c>
      <c r="AF1" s="28" t="s">
        <v>112</v>
      </c>
      <c r="AG1" s="30" t="s">
        <v>110</v>
      </c>
      <c r="AH1" s="30" t="s">
        <v>111</v>
      </c>
      <c r="AI1" s="28" t="s">
        <v>112</v>
      </c>
      <c r="AJ1" s="30" t="s">
        <v>110</v>
      </c>
      <c r="AK1" s="30" t="s">
        <v>111</v>
      </c>
      <c r="AL1" s="28" t="s">
        <v>112</v>
      </c>
      <c r="AM1" s="30" t="s">
        <v>110</v>
      </c>
      <c r="AN1" s="30" t="s">
        <v>111</v>
      </c>
      <c r="AO1" s="28" t="s">
        <v>112</v>
      </c>
      <c r="AP1" s="30" t="s">
        <v>110</v>
      </c>
      <c r="AQ1" s="30" t="s">
        <v>111</v>
      </c>
      <c r="AR1" s="28" t="s">
        <v>112</v>
      </c>
      <c r="AS1" s="30" t="s">
        <v>110</v>
      </c>
      <c r="AT1" s="30" t="s">
        <v>111</v>
      </c>
      <c r="AU1" s="28" t="s">
        <v>112</v>
      </c>
      <c r="AV1" s="28" t="s">
        <v>113</v>
      </c>
      <c r="AW1" s="28" t="s">
        <v>113</v>
      </c>
      <c r="AX1" s="28" t="s">
        <v>113</v>
      </c>
      <c r="AY1" s="28" t="s">
        <v>113</v>
      </c>
      <c r="AZ1" s="28" t="s">
        <v>113</v>
      </c>
      <c r="BA1" s="28" t="s">
        <v>113</v>
      </c>
      <c r="BB1" s="28" t="s">
        <v>113</v>
      </c>
      <c r="BC1" s="28" t="s">
        <v>113</v>
      </c>
      <c r="BD1" s="28" t="s">
        <v>113</v>
      </c>
      <c r="BE1" s="28" t="s">
        <v>113</v>
      </c>
      <c r="BF1" s="28" t="s">
        <v>113</v>
      </c>
      <c r="BG1" s="28" t="s">
        <v>113</v>
      </c>
      <c r="BH1" s="105" t="s">
        <v>113</v>
      </c>
    </row>
    <row r="2" spans="1:60" x14ac:dyDescent="0.15">
      <c r="A2" s="31"/>
      <c r="B2" s="32"/>
      <c r="C2" s="32"/>
      <c r="D2" s="32"/>
      <c r="E2" s="32"/>
      <c r="F2" s="33"/>
      <c r="G2" s="32" t="s">
        <v>114</v>
      </c>
      <c r="H2" s="32"/>
      <c r="I2" s="32"/>
      <c r="J2" s="32" t="s">
        <v>115</v>
      </c>
      <c r="K2" s="32" t="s">
        <v>116</v>
      </c>
      <c r="L2" s="32">
        <v>2014</v>
      </c>
      <c r="M2" s="32">
        <v>2014</v>
      </c>
      <c r="N2" s="32" t="s">
        <v>116</v>
      </c>
      <c r="O2" s="32">
        <v>2015</v>
      </c>
      <c r="P2" s="32">
        <v>2015</v>
      </c>
      <c r="Q2" s="32" t="s">
        <v>116</v>
      </c>
      <c r="R2" s="32">
        <v>2016</v>
      </c>
      <c r="S2" s="32">
        <v>2016</v>
      </c>
      <c r="T2" s="32" t="s">
        <v>116</v>
      </c>
      <c r="U2" s="32">
        <v>2017</v>
      </c>
      <c r="V2" s="32">
        <v>2017</v>
      </c>
      <c r="W2" s="32" t="s">
        <v>116</v>
      </c>
      <c r="X2" s="32">
        <v>2018</v>
      </c>
      <c r="Y2" s="32">
        <v>2018</v>
      </c>
      <c r="Z2" s="32" t="s">
        <v>116</v>
      </c>
      <c r="AA2" s="32">
        <v>2019</v>
      </c>
      <c r="AB2" s="32">
        <v>2019</v>
      </c>
      <c r="AC2" s="32" t="s">
        <v>116</v>
      </c>
      <c r="AD2" s="32">
        <v>2020</v>
      </c>
      <c r="AE2" s="32">
        <v>2020</v>
      </c>
      <c r="AF2" s="32" t="s">
        <v>116</v>
      </c>
      <c r="AG2" s="32">
        <v>2021</v>
      </c>
      <c r="AH2" s="32">
        <v>2021</v>
      </c>
      <c r="AI2" s="32" t="s">
        <v>116</v>
      </c>
      <c r="AJ2" s="32">
        <v>2022</v>
      </c>
      <c r="AK2" s="32">
        <v>2022</v>
      </c>
      <c r="AL2" s="32" t="s">
        <v>116</v>
      </c>
      <c r="AM2" s="32">
        <v>2023</v>
      </c>
      <c r="AN2" s="32">
        <v>2023</v>
      </c>
      <c r="AO2" s="32" t="s">
        <v>116</v>
      </c>
      <c r="AP2" s="32">
        <v>2024</v>
      </c>
      <c r="AQ2" s="32">
        <v>2024</v>
      </c>
      <c r="AR2" s="32" t="s">
        <v>116</v>
      </c>
      <c r="AS2" s="32">
        <v>2025</v>
      </c>
      <c r="AT2" s="32">
        <v>2025</v>
      </c>
      <c r="AU2" s="32" t="s">
        <v>116</v>
      </c>
      <c r="AV2" s="32" t="s">
        <v>117</v>
      </c>
      <c r="AW2" s="32" t="s">
        <v>117</v>
      </c>
      <c r="AX2" s="32" t="s">
        <v>117</v>
      </c>
      <c r="AY2" s="32" t="s">
        <v>117</v>
      </c>
      <c r="AZ2" s="32" t="s">
        <v>117</v>
      </c>
      <c r="BA2" s="32" t="s">
        <v>117</v>
      </c>
      <c r="BB2" s="32" t="s">
        <v>117</v>
      </c>
      <c r="BC2" s="32" t="s">
        <v>117</v>
      </c>
      <c r="BD2" s="32" t="s">
        <v>117</v>
      </c>
      <c r="BE2" s="32" t="s">
        <v>117</v>
      </c>
      <c r="BF2" s="32" t="s">
        <v>117</v>
      </c>
      <c r="BG2" s="32" t="s">
        <v>117</v>
      </c>
      <c r="BH2" s="106" t="s">
        <v>117</v>
      </c>
    </row>
    <row r="3" spans="1:60" x14ac:dyDescent="0.15">
      <c r="A3" s="34"/>
      <c r="B3" s="35"/>
      <c r="C3" s="35"/>
      <c r="D3" s="35"/>
      <c r="E3" s="35"/>
      <c r="F3" s="36"/>
      <c r="G3" s="13"/>
      <c r="H3" s="13"/>
      <c r="I3" s="13"/>
      <c r="J3" s="13"/>
      <c r="K3" s="37">
        <v>41639</v>
      </c>
      <c r="L3" s="13"/>
      <c r="M3" s="13"/>
      <c r="N3" s="37">
        <v>42004</v>
      </c>
      <c r="O3" s="13"/>
      <c r="P3" s="13"/>
      <c r="Q3" s="37">
        <v>42369</v>
      </c>
      <c r="R3" s="13"/>
      <c r="S3" s="13"/>
      <c r="T3" s="37">
        <v>42735</v>
      </c>
      <c r="U3" s="13"/>
      <c r="V3" s="13"/>
      <c r="W3" s="37">
        <v>43100</v>
      </c>
      <c r="X3" s="13"/>
      <c r="Y3" s="13"/>
      <c r="Z3" s="37">
        <v>43465</v>
      </c>
      <c r="AA3" s="13"/>
      <c r="AB3" s="13"/>
      <c r="AC3" s="37">
        <v>43830</v>
      </c>
      <c r="AD3" s="13"/>
      <c r="AE3" s="13"/>
      <c r="AF3" s="37">
        <v>44196</v>
      </c>
      <c r="AG3" s="13"/>
      <c r="AH3" s="13"/>
      <c r="AI3" s="37">
        <v>44561</v>
      </c>
      <c r="AJ3" s="13"/>
      <c r="AK3" s="13"/>
      <c r="AL3" s="37">
        <v>44926</v>
      </c>
      <c r="AM3" s="13"/>
      <c r="AN3" s="13"/>
      <c r="AO3" s="37">
        <v>45291</v>
      </c>
      <c r="AP3" s="13"/>
      <c r="AQ3" s="13"/>
      <c r="AR3" s="37">
        <v>45657</v>
      </c>
      <c r="AS3" s="13"/>
      <c r="AT3" s="13"/>
      <c r="AU3" s="37">
        <v>46022</v>
      </c>
      <c r="AV3" s="38">
        <v>41639</v>
      </c>
      <c r="AW3" s="38">
        <v>42004</v>
      </c>
      <c r="AX3" s="38">
        <v>42369</v>
      </c>
      <c r="AY3" s="38">
        <v>42735</v>
      </c>
      <c r="AZ3" s="38">
        <v>43100</v>
      </c>
      <c r="BA3" s="38">
        <v>43465</v>
      </c>
      <c r="BB3" s="38">
        <v>43830</v>
      </c>
      <c r="BC3" s="38">
        <v>44196</v>
      </c>
      <c r="BD3" s="38">
        <v>44561</v>
      </c>
      <c r="BE3" s="38">
        <v>44926</v>
      </c>
      <c r="BF3" s="38">
        <v>45291</v>
      </c>
      <c r="BG3" s="38">
        <v>45657</v>
      </c>
      <c r="BH3" s="107">
        <v>46022</v>
      </c>
    </row>
    <row r="4" spans="1:60" x14ac:dyDescent="0.15">
      <c r="A4" s="39" t="s">
        <v>245</v>
      </c>
      <c r="D4" s="2" t="s">
        <v>246</v>
      </c>
      <c r="E4" s="39" t="s">
        <v>146</v>
      </c>
      <c r="F4" s="40">
        <v>0.25</v>
      </c>
      <c r="G4" s="6">
        <v>6425.1</v>
      </c>
      <c r="H4" s="6"/>
      <c r="I4" s="6"/>
      <c r="J4" s="6">
        <f t="shared" ref="J4:J5" si="0">+G4+H4+I4</f>
        <v>6425.1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>
        <f>+ROUND(+$J4*$F4,2)</f>
        <v>1606.28</v>
      </c>
      <c r="AN4" s="6"/>
      <c r="AO4" s="6">
        <f t="shared" ref="AO4:AO5" si="1">+AL4+AM4+AN4</f>
        <v>1606.28</v>
      </c>
      <c r="AP4" s="6">
        <f>+ROUND(+$J4*$F4,2)</f>
        <v>1606.28</v>
      </c>
      <c r="AQ4" s="6"/>
      <c r="AR4" s="6">
        <f t="shared" ref="AR4:AR5" si="2">+AO4+AP4+AQ4</f>
        <v>3212.56</v>
      </c>
      <c r="AS4" s="6"/>
      <c r="AT4" s="6"/>
      <c r="AU4" s="6">
        <f t="shared" ref="AU4:AU5" si="3">+AR4+AS4+AT4</f>
        <v>3212.56</v>
      </c>
      <c r="AV4" s="6"/>
      <c r="AW4" s="6"/>
      <c r="AX4" s="6"/>
      <c r="AY4" s="6"/>
      <c r="AZ4" s="6"/>
      <c r="BA4" s="6"/>
      <c r="BB4" s="6"/>
      <c r="BC4" s="6"/>
      <c r="BD4" s="6"/>
      <c r="BE4" s="6"/>
      <c r="BF4" s="6">
        <f>+J4-AO4</f>
        <v>4818.8200000000006</v>
      </c>
      <c r="BG4" s="6">
        <f>+J4-AR4</f>
        <v>3212.5400000000004</v>
      </c>
      <c r="BH4" s="6">
        <f t="shared" ref="BH4:BH5" si="4">+$J4-AU4</f>
        <v>3212.5400000000004</v>
      </c>
    </row>
    <row r="5" spans="1:60" x14ac:dyDescent="0.15">
      <c r="A5" s="39" t="s">
        <v>247</v>
      </c>
      <c r="D5" s="2" t="s">
        <v>246</v>
      </c>
      <c r="E5" s="39" t="s">
        <v>146</v>
      </c>
      <c r="F5" s="40">
        <v>0.25</v>
      </c>
      <c r="G5" s="6">
        <v>12620.3</v>
      </c>
      <c r="H5" s="6"/>
      <c r="I5" s="6"/>
      <c r="J5" s="6">
        <f t="shared" si="0"/>
        <v>12620.3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>
        <f>+ROUND(+J5*F5,2)</f>
        <v>3155.08</v>
      </c>
      <c r="AN5" s="6"/>
      <c r="AO5" s="6">
        <f t="shared" si="1"/>
        <v>3155.08</v>
      </c>
      <c r="AP5" s="6">
        <f>+ROUND(+$J5*$F5,2)</f>
        <v>3155.08</v>
      </c>
      <c r="AQ5" s="6"/>
      <c r="AR5" s="6">
        <f t="shared" si="2"/>
        <v>6310.16</v>
      </c>
      <c r="AS5" s="6"/>
      <c r="AT5" s="6"/>
      <c r="AU5" s="6">
        <f t="shared" si="3"/>
        <v>6310.16</v>
      </c>
      <c r="AV5" s="6"/>
      <c r="AW5" s="6"/>
      <c r="AX5" s="6"/>
      <c r="AY5" s="6"/>
      <c r="AZ5" s="6"/>
      <c r="BA5" s="6"/>
      <c r="BB5" s="6"/>
      <c r="BC5" s="6"/>
      <c r="BD5" s="6"/>
      <c r="BE5" s="6"/>
      <c r="BF5" s="6">
        <f>+J5-AO5</f>
        <v>9465.2199999999993</v>
      </c>
      <c r="BG5" s="6">
        <f>+J5-AR5</f>
        <v>6310.1399999999994</v>
      </c>
      <c r="BH5" s="6">
        <f t="shared" si="4"/>
        <v>6310.1399999999994</v>
      </c>
    </row>
    <row r="6" spans="1:60" s="11" customFormat="1" x14ac:dyDescent="0.15">
      <c r="A6" s="41" t="s">
        <v>138</v>
      </c>
      <c r="B6" s="41"/>
      <c r="C6" s="41"/>
      <c r="D6" s="42"/>
      <c r="E6" s="28"/>
      <c r="F6" s="43"/>
      <c r="G6" s="44">
        <f t="shared" ref="G6:AO6" si="5">SUM(G4:G5)</f>
        <v>19045.400000000001</v>
      </c>
      <c r="H6" s="44">
        <f t="shared" si="5"/>
        <v>0</v>
      </c>
      <c r="I6" s="44">
        <f t="shared" si="5"/>
        <v>0</v>
      </c>
      <c r="J6" s="44">
        <f t="shared" si="5"/>
        <v>19045.400000000001</v>
      </c>
      <c r="K6" s="44">
        <f t="shared" si="5"/>
        <v>0</v>
      </c>
      <c r="L6" s="44">
        <f t="shared" si="5"/>
        <v>0</v>
      </c>
      <c r="M6" s="44">
        <f t="shared" si="5"/>
        <v>0</v>
      </c>
      <c r="N6" s="44">
        <f t="shared" si="5"/>
        <v>0</v>
      </c>
      <c r="O6" s="44">
        <f t="shared" si="5"/>
        <v>0</v>
      </c>
      <c r="P6" s="44">
        <f t="shared" si="5"/>
        <v>0</v>
      </c>
      <c r="Q6" s="44">
        <f t="shared" si="5"/>
        <v>0</v>
      </c>
      <c r="R6" s="44">
        <f t="shared" si="5"/>
        <v>0</v>
      </c>
      <c r="S6" s="44">
        <f t="shared" si="5"/>
        <v>0</v>
      </c>
      <c r="T6" s="44">
        <f t="shared" si="5"/>
        <v>0</v>
      </c>
      <c r="U6" s="44">
        <f t="shared" si="5"/>
        <v>0</v>
      </c>
      <c r="V6" s="44">
        <f t="shared" si="5"/>
        <v>0</v>
      </c>
      <c r="W6" s="44">
        <f t="shared" si="5"/>
        <v>0</v>
      </c>
      <c r="X6" s="44">
        <f t="shared" si="5"/>
        <v>0</v>
      </c>
      <c r="Y6" s="44">
        <f t="shared" si="5"/>
        <v>0</v>
      </c>
      <c r="Z6" s="44">
        <f t="shared" si="5"/>
        <v>0</v>
      </c>
      <c r="AA6" s="44">
        <f t="shared" si="5"/>
        <v>0</v>
      </c>
      <c r="AB6" s="44">
        <f t="shared" si="5"/>
        <v>0</v>
      </c>
      <c r="AC6" s="44">
        <f t="shared" si="5"/>
        <v>0</v>
      </c>
      <c r="AD6" s="44">
        <f t="shared" si="5"/>
        <v>0</v>
      </c>
      <c r="AE6" s="44">
        <f t="shared" si="5"/>
        <v>0</v>
      </c>
      <c r="AF6" s="44">
        <f t="shared" si="5"/>
        <v>0</v>
      </c>
      <c r="AG6" s="44">
        <f t="shared" si="5"/>
        <v>0</v>
      </c>
      <c r="AH6" s="44">
        <f t="shared" si="5"/>
        <v>0</v>
      </c>
      <c r="AI6" s="44">
        <f t="shared" si="5"/>
        <v>0</v>
      </c>
      <c r="AJ6" s="44">
        <f t="shared" si="5"/>
        <v>0</v>
      </c>
      <c r="AK6" s="44">
        <f t="shared" si="5"/>
        <v>0</v>
      </c>
      <c r="AL6" s="44">
        <f t="shared" si="5"/>
        <v>0</v>
      </c>
      <c r="AM6" s="44">
        <f t="shared" si="5"/>
        <v>4761.3599999999997</v>
      </c>
      <c r="AN6" s="44">
        <f t="shared" si="5"/>
        <v>0</v>
      </c>
      <c r="AO6" s="44">
        <f t="shared" si="5"/>
        <v>4761.3599999999997</v>
      </c>
      <c r="AP6" s="44">
        <f t="shared" ref="AP6:BG6" si="6">SUM(AP4:AP5)</f>
        <v>4761.3599999999997</v>
      </c>
      <c r="AQ6" s="44">
        <f t="shared" si="6"/>
        <v>0</v>
      </c>
      <c r="AR6" s="44">
        <f t="shared" si="6"/>
        <v>9522.7199999999993</v>
      </c>
      <c r="AS6" s="44">
        <f t="shared" si="6"/>
        <v>0</v>
      </c>
      <c r="AT6" s="44">
        <f t="shared" si="6"/>
        <v>0</v>
      </c>
      <c r="AU6" s="44">
        <f t="shared" si="6"/>
        <v>9522.7199999999993</v>
      </c>
      <c r="AV6" s="44">
        <f t="shared" si="6"/>
        <v>0</v>
      </c>
      <c r="AW6" s="44">
        <f t="shared" si="6"/>
        <v>0</v>
      </c>
      <c r="AX6" s="44">
        <f t="shared" si="6"/>
        <v>0</v>
      </c>
      <c r="AY6" s="44">
        <f t="shared" si="6"/>
        <v>0</v>
      </c>
      <c r="AZ6" s="44">
        <f t="shared" si="6"/>
        <v>0</v>
      </c>
      <c r="BA6" s="44">
        <f t="shared" si="6"/>
        <v>0</v>
      </c>
      <c r="BB6" s="44">
        <f t="shared" si="6"/>
        <v>0</v>
      </c>
      <c r="BC6" s="44">
        <f t="shared" si="6"/>
        <v>0</v>
      </c>
      <c r="BD6" s="44">
        <f t="shared" si="6"/>
        <v>0</v>
      </c>
      <c r="BE6" s="44">
        <f t="shared" si="6"/>
        <v>0</v>
      </c>
      <c r="BF6" s="44">
        <f t="shared" si="6"/>
        <v>14284.04</v>
      </c>
      <c r="BG6" s="44">
        <f t="shared" si="6"/>
        <v>9522.68</v>
      </c>
      <c r="BH6" s="44">
        <f t="shared" ref="BH6" si="7">SUM(BH4:BH5)</f>
        <v>9522.68</v>
      </c>
    </row>
    <row r="7" spans="1:60" x14ac:dyDescent="0.15"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</row>
    <row r="8" spans="1:60" x14ac:dyDescent="0.15">
      <c r="A8" s="27" t="s">
        <v>105</v>
      </c>
      <c r="B8" s="28" t="s">
        <v>243</v>
      </c>
      <c r="C8" s="28" t="s">
        <v>244</v>
      </c>
      <c r="D8" s="28" t="s">
        <v>106</v>
      </c>
      <c r="E8" s="28" t="s">
        <v>107</v>
      </c>
      <c r="F8" s="29" t="s">
        <v>108</v>
      </c>
      <c r="G8" s="28" t="s">
        <v>109</v>
      </c>
      <c r="H8" s="30" t="s">
        <v>110</v>
      </c>
      <c r="I8" s="30" t="s">
        <v>111</v>
      </c>
      <c r="J8" s="28" t="s">
        <v>109</v>
      </c>
      <c r="K8" s="28" t="s">
        <v>112</v>
      </c>
      <c r="L8" s="30" t="s">
        <v>110</v>
      </c>
      <c r="M8" s="30" t="s">
        <v>111</v>
      </c>
      <c r="N8" s="28" t="s">
        <v>112</v>
      </c>
      <c r="O8" s="30" t="s">
        <v>110</v>
      </c>
      <c r="P8" s="30" t="s">
        <v>111</v>
      </c>
      <c r="Q8" s="28" t="s">
        <v>112</v>
      </c>
      <c r="R8" s="30" t="s">
        <v>110</v>
      </c>
      <c r="S8" s="30" t="s">
        <v>111</v>
      </c>
      <c r="T8" s="28" t="s">
        <v>112</v>
      </c>
      <c r="U8" s="30" t="s">
        <v>110</v>
      </c>
      <c r="V8" s="30" t="s">
        <v>111</v>
      </c>
      <c r="W8" s="28" t="s">
        <v>112</v>
      </c>
      <c r="X8" s="30" t="s">
        <v>110</v>
      </c>
      <c r="Y8" s="30" t="s">
        <v>111</v>
      </c>
      <c r="Z8" s="28" t="s">
        <v>112</v>
      </c>
      <c r="AA8" s="30" t="s">
        <v>110</v>
      </c>
      <c r="AB8" s="30" t="s">
        <v>111</v>
      </c>
      <c r="AC8" s="28" t="s">
        <v>112</v>
      </c>
      <c r="AD8" s="30" t="s">
        <v>110</v>
      </c>
      <c r="AE8" s="30" t="s">
        <v>111</v>
      </c>
      <c r="AF8" s="28" t="s">
        <v>112</v>
      </c>
      <c r="AG8" s="30" t="s">
        <v>110</v>
      </c>
      <c r="AH8" s="30" t="s">
        <v>111</v>
      </c>
      <c r="AI8" s="28" t="s">
        <v>112</v>
      </c>
      <c r="AJ8" s="30" t="s">
        <v>110</v>
      </c>
      <c r="AK8" s="30" t="s">
        <v>111</v>
      </c>
      <c r="AL8" s="28" t="s">
        <v>112</v>
      </c>
      <c r="AM8" s="30" t="s">
        <v>110</v>
      </c>
      <c r="AN8" s="30" t="s">
        <v>111</v>
      </c>
      <c r="AO8" s="28" t="s">
        <v>112</v>
      </c>
      <c r="AP8" s="30" t="s">
        <v>110</v>
      </c>
      <c r="AQ8" s="30" t="s">
        <v>111</v>
      </c>
      <c r="AR8" s="28" t="s">
        <v>112</v>
      </c>
      <c r="AS8" s="30" t="s">
        <v>110</v>
      </c>
      <c r="AT8" s="30" t="s">
        <v>111</v>
      </c>
      <c r="AU8" s="28" t="s">
        <v>112</v>
      </c>
      <c r="AV8" s="28" t="s">
        <v>113</v>
      </c>
      <c r="AW8" s="28" t="s">
        <v>113</v>
      </c>
      <c r="AX8" s="28" t="s">
        <v>113</v>
      </c>
      <c r="AY8" s="28" t="s">
        <v>113</v>
      </c>
      <c r="AZ8" s="28" t="s">
        <v>113</v>
      </c>
      <c r="BA8" s="28" t="s">
        <v>113</v>
      </c>
      <c r="BB8" s="28" t="s">
        <v>113</v>
      </c>
      <c r="BC8" s="28" t="s">
        <v>113</v>
      </c>
      <c r="BD8" s="28" t="s">
        <v>113</v>
      </c>
      <c r="BE8" s="28" t="s">
        <v>113</v>
      </c>
      <c r="BF8" s="28" t="s">
        <v>113</v>
      </c>
      <c r="BG8" s="28" t="s">
        <v>113</v>
      </c>
      <c r="BH8" s="105" t="s">
        <v>113</v>
      </c>
    </row>
    <row r="9" spans="1:60" x14ac:dyDescent="0.15">
      <c r="A9" s="31"/>
      <c r="B9" s="32"/>
      <c r="C9" s="32"/>
      <c r="D9" s="32"/>
      <c r="E9" s="32"/>
      <c r="F9" s="33"/>
      <c r="G9" s="32" t="s">
        <v>114</v>
      </c>
      <c r="H9" s="32"/>
      <c r="I9" s="32"/>
      <c r="J9" s="32" t="s">
        <v>115</v>
      </c>
      <c r="K9" s="32" t="s">
        <v>116</v>
      </c>
      <c r="L9" s="32">
        <v>2014</v>
      </c>
      <c r="M9" s="32">
        <v>2014</v>
      </c>
      <c r="N9" s="32" t="s">
        <v>116</v>
      </c>
      <c r="O9" s="32">
        <v>2015</v>
      </c>
      <c r="P9" s="32">
        <v>2015</v>
      </c>
      <c r="Q9" s="32" t="s">
        <v>116</v>
      </c>
      <c r="R9" s="32">
        <v>2016</v>
      </c>
      <c r="S9" s="32">
        <v>2016</v>
      </c>
      <c r="T9" s="32" t="s">
        <v>116</v>
      </c>
      <c r="U9" s="32">
        <v>2017</v>
      </c>
      <c r="V9" s="32">
        <v>2017</v>
      </c>
      <c r="W9" s="32" t="s">
        <v>116</v>
      </c>
      <c r="X9" s="32">
        <v>2018</v>
      </c>
      <c r="Y9" s="32">
        <v>2018</v>
      </c>
      <c r="Z9" s="32" t="s">
        <v>116</v>
      </c>
      <c r="AA9" s="32">
        <v>2019</v>
      </c>
      <c r="AB9" s="32">
        <v>2019</v>
      </c>
      <c r="AC9" s="32" t="s">
        <v>116</v>
      </c>
      <c r="AD9" s="32">
        <v>2020</v>
      </c>
      <c r="AE9" s="32">
        <v>2020</v>
      </c>
      <c r="AF9" s="32" t="s">
        <v>116</v>
      </c>
      <c r="AG9" s="32">
        <v>2021</v>
      </c>
      <c r="AH9" s="32">
        <v>2021</v>
      </c>
      <c r="AI9" s="32" t="s">
        <v>116</v>
      </c>
      <c r="AJ9" s="32">
        <v>2022</v>
      </c>
      <c r="AK9" s="32">
        <v>2022</v>
      </c>
      <c r="AL9" s="32" t="s">
        <v>116</v>
      </c>
      <c r="AM9" s="32">
        <v>2023</v>
      </c>
      <c r="AN9" s="32">
        <v>2023</v>
      </c>
      <c r="AO9" s="32" t="s">
        <v>116</v>
      </c>
      <c r="AP9" s="32">
        <v>2024</v>
      </c>
      <c r="AQ9" s="32">
        <v>2024</v>
      </c>
      <c r="AR9" s="32" t="s">
        <v>116</v>
      </c>
      <c r="AS9" s="32">
        <v>2025</v>
      </c>
      <c r="AT9" s="32">
        <v>2025</v>
      </c>
      <c r="AU9" s="32" t="s">
        <v>116</v>
      </c>
      <c r="AV9" s="32" t="s">
        <v>117</v>
      </c>
      <c r="AW9" s="32" t="s">
        <v>117</v>
      </c>
      <c r="AX9" s="32" t="s">
        <v>117</v>
      </c>
      <c r="AY9" s="32" t="s">
        <v>117</v>
      </c>
      <c r="AZ9" s="32" t="s">
        <v>117</v>
      </c>
      <c r="BA9" s="32" t="s">
        <v>117</v>
      </c>
      <c r="BB9" s="32" t="s">
        <v>117</v>
      </c>
      <c r="BC9" s="32" t="s">
        <v>117</v>
      </c>
      <c r="BD9" s="32" t="s">
        <v>117</v>
      </c>
      <c r="BE9" s="32" t="s">
        <v>117</v>
      </c>
      <c r="BF9" s="32" t="s">
        <v>117</v>
      </c>
      <c r="BG9" s="32" t="s">
        <v>117</v>
      </c>
      <c r="BH9" s="106" t="s">
        <v>117</v>
      </c>
    </row>
    <row r="10" spans="1:60" x14ac:dyDescent="0.15">
      <c r="A10" s="34"/>
      <c r="B10" s="35"/>
      <c r="C10" s="35"/>
      <c r="D10" s="35"/>
      <c r="E10" s="35"/>
      <c r="F10" s="36"/>
      <c r="G10" s="13"/>
      <c r="H10" s="13"/>
      <c r="I10" s="13"/>
      <c r="J10" s="13"/>
      <c r="K10" s="37">
        <v>41639</v>
      </c>
      <c r="L10" s="13"/>
      <c r="M10" s="13"/>
      <c r="N10" s="37">
        <v>42004</v>
      </c>
      <c r="O10" s="13"/>
      <c r="P10" s="13"/>
      <c r="Q10" s="37">
        <v>42369</v>
      </c>
      <c r="R10" s="13"/>
      <c r="S10" s="13"/>
      <c r="T10" s="37">
        <v>42735</v>
      </c>
      <c r="U10" s="13"/>
      <c r="V10" s="13"/>
      <c r="W10" s="37">
        <v>43100</v>
      </c>
      <c r="X10" s="13"/>
      <c r="Y10" s="13"/>
      <c r="Z10" s="37">
        <v>43465</v>
      </c>
      <c r="AA10" s="13"/>
      <c r="AB10" s="13"/>
      <c r="AC10" s="37">
        <v>43830</v>
      </c>
      <c r="AD10" s="13"/>
      <c r="AE10" s="13"/>
      <c r="AF10" s="37">
        <v>44196</v>
      </c>
      <c r="AG10" s="13"/>
      <c r="AH10" s="13"/>
      <c r="AI10" s="37">
        <v>44561</v>
      </c>
      <c r="AJ10" s="13"/>
      <c r="AK10" s="13"/>
      <c r="AL10" s="37">
        <v>44926</v>
      </c>
      <c r="AM10" s="13"/>
      <c r="AN10" s="13"/>
      <c r="AO10" s="37">
        <v>45291</v>
      </c>
      <c r="AP10" s="13"/>
      <c r="AQ10" s="13"/>
      <c r="AR10" s="37">
        <v>45657</v>
      </c>
      <c r="AS10" s="13"/>
      <c r="AT10" s="13"/>
      <c r="AU10" s="37">
        <v>46022</v>
      </c>
      <c r="AV10" s="38">
        <v>41639</v>
      </c>
      <c r="AW10" s="38">
        <v>42004</v>
      </c>
      <c r="AX10" s="38">
        <v>42369</v>
      </c>
      <c r="AY10" s="38">
        <v>42735</v>
      </c>
      <c r="AZ10" s="38">
        <v>43100</v>
      </c>
      <c r="BA10" s="38">
        <v>43465</v>
      </c>
      <c r="BB10" s="38">
        <v>43830</v>
      </c>
      <c r="BC10" s="38">
        <v>44196</v>
      </c>
      <c r="BD10" s="38">
        <v>44561</v>
      </c>
      <c r="BE10" s="38">
        <v>44926</v>
      </c>
      <c r="BF10" s="38">
        <v>45291</v>
      </c>
      <c r="BG10" s="38">
        <v>45657</v>
      </c>
      <c r="BH10" s="107">
        <v>46022</v>
      </c>
    </row>
    <row r="11" spans="1:60" x14ac:dyDescent="0.15">
      <c r="A11" s="39" t="s">
        <v>139</v>
      </c>
      <c r="D11" s="2" t="s">
        <v>140</v>
      </c>
      <c r="E11" s="45" t="s">
        <v>141</v>
      </c>
      <c r="F11" s="45" t="s">
        <v>141</v>
      </c>
      <c r="G11" s="6">
        <v>229886</v>
      </c>
      <c r="H11" s="6"/>
      <c r="I11" s="6"/>
      <c r="J11" s="6">
        <f>+G11+H11+I11</f>
        <v>229886</v>
      </c>
      <c r="K11" s="6">
        <v>0</v>
      </c>
      <c r="L11" s="6"/>
      <c r="M11" s="6"/>
      <c r="N11" s="6">
        <f>+K11+L11+M11</f>
        <v>0</v>
      </c>
      <c r="O11" s="6"/>
      <c r="P11" s="6"/>
      <c r="Q11" s="6">
        <f t="shared" ref="Q11" si="8">+N11+O11+P11</f>
        <v>0</v>
      </c>
      <c r="R11" s="6"/>
      <c r="S11" s="6"/>
      <c r="T11" s="6">
        <f t="shared" ref="T11" si="9">+Q11+R11+S11</f>
        <v>0</v>
      </c>
      <c r="U11" s="6"/>
      <c r="V11" s="6"/>
      <c r="W11" s="6">
        <f t="shared" ref="W11" si="10">+T11+U11+V11</f>
        <v>0</v>
      </c>
      <c r="X11" s="6"/>
      <c r="Y11" s="6"/>
      <c r="Z11" s="6">
        <f t="shared" ref="Z11" si="11">+W11+X11+Y11</f>
        <v>0</v>
      </c>
      <c r="AA11" s="6"/>
      <c r="AB11" s="6"/>
      <c r="AC11" s="6">
        <f t="shared" ref="AC11" si="12">+Z11+AA11+AB11</f>
        <v>0</v>
      </c>
      <c r="AD11" s="6"/>
      <c r="AE11" s="6"/>
      <c r="AF11" s="6">
        <f t="shared" ref="AF11" si="13">+AC11+AD11+AE11</f>
        <v>0</v>
      </c>
      <c r="AG11" s="6"/>
      <c r="AH11" s="6"/>
      <c r="AI11" s="6">
        <f t="shared" ref="AI11" si="14">+AF11+AG11+AH11</f>
        <v>0</v>
      </c>
      <c r="AJ11" s="6"/>
      <c r="AK11" s="6"/>
      <c r="AL11" s="6">
        <f t="shared" ref="AL11" si="15">+AI11+AJ11+AK11</f>
        <v>0</v>
      </c>
      <c r="AM11" s="6"/>
      <c r="AN11" s="6"/>
      <c r="AO11" s="6">
        <f t="shared" ref="AO11" si="16">+AL11+AM11+AN11</f>
        <v>0</v>
      </c>
      <c r="AP11" s="6"/>
      <c r="AQ11" s="6"/>
      <c r="AR11" s="6">
        <f t="shared" ref="AR11" si="17">+AO11+AP11+AQ11</f>
        <v>0</v>
      </c>
      <c r="AS11" s="6"/>
      <c r="AT11" s="6"/>
      <c r="AU11" s="6">
        <f t="shared" ref="AU11" si="18">+AR11+AS11+AT11</f>
        <v>0</v>
      </c>
      <c r="AV11" s="6">
        <f>+J11-K11</f>
        <v>229886</v>
      </c>
      <c r="AW11" s="6">
        <f>+J11-N11</f>
        <v>229886</v>
      </c>
      <c r="AX11" s="6">
        <f>+J11-Q11</f>
        <v>229886</v>
      </c>
      <c r="AY11" s="6">
        <f>+J11-T11</f>
        <v>229886</v>
      </c>
      <c r="AZ11" s="6">
        <f>+J11-W11</f>
        <v>229886</v>
      </c>
      <c r="BA11" s="6">
        <f>+J11-Z11</f>
        <v>229886</v>
      </c>
      <c r="BB11" s="6">
        <f t="shared" ref="BB11" si="19">+J11-AC11</f>
        <v>229886</v>
      </c>
      <c r="BC11" s="6">
        <f t="shared" ref="BC11" si="20">+J11-AF11</f>
        <v>229886</v>
      </c>
      <c r="BD11" s="6">
        <f t="shared" ref="BD11" si="21">+J11-AI11</f>
        <v>229886</v>
      </c>
      <c r="BE11" s="6">
        <f t="shared" ref="BE11" si="22">+J11-AL11</f>
        <v>229886</v>
      </c>
      <c r="BF11" s="6">
        <f t="shared" ref="BF11" si="23">+J11-AO11</f>
        <v>229886</v>
      </c>
      <c r="BG11" s="6">
        <f>+J11-AR11</f>
        <v>229886</v>
      </c>
      <c r="BH11" s="6">
        <f t="shared" ref="BH11" si="24">+$J11-AU11</f>
        <v>229886</v>
      </c>
    </row>
    <row r="12" spans="1:60" s="11" customFormat="1" x14ac:dyDescent="0.15">
      <c r="A12" s="41" t="s">
        <v>142</v>
      </c>
      <c r="B12" s="41"/>
      <c r="C12" s="41"/>
      <c r="D12" s="42"/>
      <c r="E12" s="28"/>
      <c r="F12" s="43"/>
      <c r="G12" s="44">
        <f t="shared" ref="G12:N12" si="25">SUM(G11:G11)</f>
        <v>229886</v>
      </c>
      <c r="H12" s="44">
        <f t="shared" si="25"/>
        <v>0</v>
      </c>
      <c r="I12" s="44">
        <f t="shared" si="25"/>
        <v>0</v>
      </c>
      <c r="J12" s="44">
        <f t="shared" si="25"/>
        <v>229886</v>
      </c>
      <c r="K12" s="44">
        <f t="shared" si="25"/>
        <v>0</v>
      </c>
      <c r="L12" s="44">
        <f t="shared" si="25"/>
        <v>0</v>
      </c>
      <c r="M12" s="44">
        <f t="shared" si="25"/>
        <v>0</v>
      </c>
      <c r="N12" s="44">
        <f t="shared" si="25"/>
        <v>0</v>
      </c>
      <c r="O12" s="44"/>
      <c r="P12" s="44"/>
      <c r="Q12" s="44">
        <f t="shared" ref="Q12:BG12" si="26">SUM(Q11:Q11)</f>
        <v>0</v>
      </c>
      <c r="R12" s="44">
        <f t="shared" si="26"/>
        <v>0</v>
      </c>
      <c r="S12" s="44">
        <f t="shared" si="26"/>
        <v>0</v>
      </c>
      <c r="T12" s="44">
        <f t="shared" si="26"/>
        <v>0</v>
      </c>
      <c r="U12" s="44">
        <f t="shared" si="26"/>
        <v>0</v>
      </c>
      <c r="V12" s="44">
        <f t="shared" si="26"/>
        <v>0</v>
      </c>
      <c r="W12" s="44">
        <f t="shared" si="26"/>
        <v>0</v>
      </c>
      <c r="X12" s="44">
        <f t="shared" si="26"/>
        <v>0</v>
      </c>
      <c r="Y12" s="44">
        <f t="shared" si="26"/>
        <v>0</v>
      </c>
      <c r="Z12" s="44">
        <f t="shared" si="26"/>
        <v>0</v>
      </c>
      <c r="AA12" s="44">
        <f t="shared" si="26"/>
        <v>0</v>
      </c>
      <c r="AB12" s="44">
        <f t="shared" si="26"/>
        <v>0</v>
      </c>
      <c r="AC12" s="44">
        <f t="shared" si="26"/>
        <v>0</v>
      </c>
      <c r="AD12" s="44">
        <f t="shared" si="26"/>
        <v>0</v>
      </c>
      <c r="AE12" s="44">
        <f t="shared" si="26"/>
        <v>0</v>
      </c>
      <c r="AF12" s="44">
        <f t="shared" si="26"/>
        <v>0</v>
      </c>
      <c r="AG12" s="44">
        <f t="shared" si="26"/>
        <v>0</v>
      </c>
      <c r="AH12" s="44">
        <f t="shared" si="26"/>
        <v>0</v>
      </c>
      <c r="AI12" s="44">
        <f t="shared" si="26"/>
        <v>0</v>
      </c>
      <c r="AJ12" s="44">
        <f t="shared" si="26"/>
        <v>0</v>
      </c>
      <c r="AK12" s="44">
        <f t="shared" si="26"/>
        <v>0</v>
      </c>
      <c r="AL12" s="44">
        <f t="shared" si="26"/>
        <v>0</v>
      </c>
      <c r="AM12" s="44">
        <f t="shared" si="26"/>
        <v>0</v>
      </c>
      <c r="AN12" s="44">
        <f t="shared" si="26"/>
        <v>0</v>
      </c>
      <c r="AO12" s="44">
        <f t="shared" si="26"/>
        <v>0</v>
      </c>
      <c r="AP12" s="44">
        <f t="shared" si="26"/>
        <v>0</v>
      </c>
      <c r="AQ12" s="44">
        <f t="shared" si="26"/>
        <v>0</v>
      </c>
      <c r="AR12" s="44">
        <f t="shared" si="26"/>
        <v>0</v>
      </c>
      <c r="AS12" s="44">
        <f t="shared" ref="AS12:AU12" si="27">SUM(AS11:AS11)</f>
        <v>0</v>
      </c>
      <c r="AT12" s="44">
        <f t="shared" si="27"/>
        <v>0</v>
      </c>
      <c r="AU12" s="44">
        <f t="shared" si="27"/>
        <v>0</v>
      </c>
      <c r="AV12" s="44">
        <f t="shared" si="26"/>
        <v>229886</v>
      </c>
      <c r="AW12" s="44">
        <f t="shared" si="26"/>
        <v>229886</v>
      </c>
      <c r="AX12" s="44">
        <f t="shared" si="26"/>
        <v>229886</v>
      </c>
      <c r="AY12" s="44">
        <f t="shared" si="26"/>
        <v>229886</v>
      </c>
      <c r="AZ12" s="44">
        <f t="shared" si="26"/>
        <v>229886</v>
      </c>
      <c r="BA12" s="44">
        <f t="shared" si="26"/>
        <v>229886</v>
      </c>
      <c r="BB12" s="44">
        <f t="shared" si="26"/>
        <v>229886</v>
      </c>
      <c r="BC12" s="44">
        <f t="shared" si="26"/>
        <v>229886</v>
      </c>
      <c r="BD12" s="44">
        <f t="shared" si="26"/>
        <v>229886</v>
      </c>
      <c r="BE12" s="44">
        <f t="shared" si="26"/>
        <v>229886</v>
      </c>
      <c r="BF12" s="44">
        <f t="shared" si="26"/>
        <v>229886</v>
      </c>
      <c r="BG12" s="44">
        <f t="shared" si="26"/>
        <v>229886</v>
      </c>
      <c r="BH12" s="44">
        <f t="shared" ref="BH12" si="28">SUM(BH11:BH11)</f>
        <v>229886</v>
      </c>
    </row>
    <row r="14" spans="1:60" x14ac:dyDescent="0.15">
      <c r="A14" s="27" t="s">
        <v>105</v>
      </c>
      <c r="B14" s="28" t="s">
        <v>243</v>
      </c>
      <c r="C14" s="28" t="s">
        <v>244</v>
      </c>
      <c r="D14" s="28" t="s">
        <v>106</v>
      </c>
      <c r="E14" s="28" t="s">
        <v>107</v>
      </c>
      <c r="F14" s="29" t="s">
        <v>108</v>
      </c>
      <c r="G14" s="28" t="s">
        <v>109</v>
      </c>
      <c r="H14" s="30" t="s">
        <v>110</v>
      </c>
      <c r="I14" s="30" t="s">
        <v>111</v>
      </c>
      <c r="J14" s="28" t="s">
        <v>109</v>
      </c>
      <c r="K14" s="28" t="s">
        <v>112</v>
      </c>
      <c r="L14" s="30" t="s">
        <v>110</v>
      </c>
      <c r="M14" s="30" t="s">
        <v>111</v>
      </c>
      <c r="N14" s="28" t="s">
        <v>112</v>
      </c>
      <c r="O14" s="30" t="s">
        <v>110</v>
      </c>
      <c r="P14" s="30" t="s">
        <v>111</v>
      </c>
      <c r="Q14" s="28" t="s">
        <v>112</v>
      </c>
      <c r="R14" s="30" t="s">
        <v>110</v>
      </c>
      <c r="S14" s="30" t="s">
        <v>111</v>
      </c>
      <c r="T14" s="28" t="s">
        <v>112</v>
      </c>
      <c r="U14" s="30" t="s">
        <v>110</v>
      </c>
      <c r="V14" s="30" t="s">
        <v>111</v>
      </c>
      <c r="W14" s="28" t="s">
        <v>112</v>
      </c>
      <c r="X14" s="30" t="s">
        <v>110</v>
      </c>
      <c r="Y14" s="30" t="s">
        <v>111</v>
      </c>
      <c r="Z14" s="28" t="s">
        <v>112</v>
      </c>
      <c r="AA14" s="30" t="s">
        <v>110</v>
      </c>
      <c r="AB14" s="30" t="s">
        <v>111</v>
      </c>
      <c r="AC14" s="28" t="s">
        <v>112</v>
      </c>
      <c r="AD14" s="30" t="s">
        <v>110</v>
      </c>
      <c r="AE14" s="30" t="s">
        <v>111</v>
      </c>
      <c r="AF14" s="28" t="s">
        <v>112</v>
      </c>
      <c r="AG14" s="30" t="s">
        <v>110</v>
      </c>
      <c r="AH14" s="30" t="s">
        <v>111</v>
      </c>
      <c r="AI14" s="28" t="s">
        <v>112</v>
      </c>
      <c r="AJ14" s="30" t="s">
        <v>110</v>
      </c>
      <c r="AK14" s="30" t="s">
        <v>111</v>
      </c>
      <c r="AL14" s="28" t="s">
        <v>112</v>
      </c>
      <c r="AM14" s="30" t="s">
        <v>110</v>
      </c>
      <c r="AN14" s="30" t="s">
        <v>111</v>
      </c>
      <c r="AO14" s="28" t="s">
        <v>112</v>
      </c>
      <c r="AP14" s="30" t="s">
        <v>110</v>
      </c>
      <c r="AQ14" s="30" t="s">
        <v>111</v>
      </c>
      <c r="AR14" s="28" t="s">
        <v>112</v>
      </c>
      <c r="AS14" s="30" t="s">
        <v>110</v>
      </c>
      <c r="AT14" s="30" t="s">
        <v>111</v>
      </c>
      <c r="AU14" s="28" t="s">
        <v>112</v>
      </c>
      <c r="AV14" s="28" t="s">
        <v>113</v>
      </c>
      <c r="AW14" s="28" t="s">
        <v>113</v>
      </c>
      <c r="AX14" s="28" t="s">
        <v>113</v>
      </c>
      <c r="AY14" s="28" t="s">
        <v>113</v>
      </c>
      <c r="AZ14" s="28" t="s">
        <v>113</v>
      </c>
      <c r="BA14" s="28" t="s">
        <v>113</v>
      </c>
      <c r="BB14" s="28" t="s">
        <v>113</v>
      </c>
      <c r="BC14" s="28" t="s">
        <v>113</v>
      </c>
      <c r="BD14" s="28" t="s">
        <v>113</v>
      </c>
      <c r="BE14" s="28" t="s">
        <v>113</v>
      </c>
      <c r="BF14" s="28" t="s">
        <v>113</v>
      </c>
      <c r="BG14" s="28" t="s">
        <v>113</v>
      </c>
      <c r="BH14" s="105" t="s">
        <v>113</v>
      </c>
    </row>
    <row r="15" spans="1:60" x14ac:dyDescent="0.15">
      <c r="A15" s="31"/>
      <c r="B15" s="32"/>
      <c r="C15" s="32"/>
      <c r="D15" s="32"/>
      <c r="E15" s="32"/>
      <c r="F15" s="33"/>
      <c r="G15" s="32" t="s">
        <v>114</v>
      </c>
      <c r="H15" s="32"/>
      <c r="I15" s="32"/>
      <c r="J15" s="32" t="s">
        <v>115</v>
      </c>
      <c r="K15" s="32" t="s">
        <v>116</v>
      </c>
      <c r="L15" s="32">
        <v>2014</v>
      </c>
      <c r="M15" s="32">
        <v>2014</v>
      </c>
      <c r="N15" s="32" t="s">
        <v>116</v>
      </c>
      <c r="O15" s="32">
        <v>2015</v>
      </c>
      <c r="P15" s="32">
        <v>2015</v>
      </c>
      <c r="Q15" s="32" t="s">
        <v>116</v>
      </c>
      <c r="R15" s="32">
        <v>2016</v>
      </c>
      <c r="S15" s="32">
        <v>2016</v>
      </c>
      <c r="T15" s="32" t="s">
        <v>116</v>
      </c>
      <c r="U15" s="32">
        <v>2017</v>
      </c>
      <c r="V15" s="32">
        <v>2017</v>
      </c>
      <c r="W15" s="32" t="s">
        <v>116</v>
      </c>
      <c r="X15" s="32">
        <v>2018</v>
      </c>
      <c r="Y15" s="32">
        <v>2018</v>
      </c>
      <c r="Z15" s="32" t="s">
        <v>116</v>
      </c>
      <c r="AA15" s="32">
        <v>2019</v>
      </c>
      <c r="AB15" s="32">
        <v>2019</v>
      </c>
      <c r="AC15" s="32" t="s">
        <v>116</v>
      </c>
      <c r="AD15" s="32">
        <v>2020</v>
      </c>
      <c r="AE15" s="32">
        <v>2020</v>
      </c>
      <c r="AF15" s="32" t="s">
        <v>116</v>
      </c>
      <c r="AG15" s="32">
        <v>2021</v>
      </c>
      <c r="AH15" s="32">
        <v>2021</v>
      </c>
      <c r="AI15" s="32" t="s">
        <v>116</v>
      </c>
      <c r="AJ15" s="32">
        <v>2022</v>
      </c>
      <c r="AK15" s="32">
        <v>2022</v>
      </c>
      <c r="AL15" s="32" t="s">
        <v>116</v>
      </c>
      <c r="AM15" s="32">
        <v>2023</v>
      </c>
      <c r="AN15" s="32">
        <v>2023</v>
      </c>
      <c r="AO15" s="32" t="s">
        <v>116</v>
      </c>
      <c r="AP15" s="32">
        <v>2024</v>
      </c>
      <c r="AQ15" s="32">
        <v>2024</v>
      </c>
      <c r="AR15" s="32" t="s">
        <v>116</v>
      </c>
      <c r="AS15" s="32">
        <v>2025</v>
      </c>
      <c r="AT15" s="32">
        <v>2025</v>
      </c>
      <c r="AU15" s="32" t="s">
        <v>116</v>
      </c>
      <c r="AV15" s="32" t="s">
        <v>117</v>
      </c>
      <c r="AW15" s="32" t="s">
        <v>117</v>
      </c>
      <c r="AX15" s="32" t="s">
        <v>117</v>
      </c>
      <c r="AY15" s="32" t="s">
        <v>117</v>
      </c>
      <c r="AZ15" s="32" t="s">
        <v>117</v>
      </c>
      <c r="BA15" s="32" t="s">
        <v>117</v>
      </c>
      <c r="BB15" s="32" t="s">
        <v>117</v>
      </c>
      <c r="BC15" s="32" t="s">
        <v>117</v>
      </c>
      <c r="BD15" s="32" t="s">
        <v>117</v>
      </c>
      <c r="BE15" s="32" t="s">
        <v>117</v>
      </c>
      <c r="BF15" s="32" t="s">
        <v>117</v>
      </c>
      <c r="BG15" s="32" t="s">
        <v>117</v>
      </c>
      <c r="BH15" s="106" t="s">
        <v>117</v>
      </c>
    </row>
    <row r="16" spans="1:60" x14ac:dyDescent="0.15">
      <c r="A16" s="34"/>
      <c r="B16" s="35"/>
      <c r="C16" s="35"/>
      <c r="D16" s="35"/>
      <c r="E16" s="35"/>
      <c r="F16" s="36"/>
      <c r="G16" s="13"/>
      <c r="H16" s="13"/>
      <c r="I16" s="13"/>
      <c r="J16" s="13"/>
      <c r="K16" s="37">
        <v>41639</v>
      </c>
      <c r="L16" s="13"/>
      <c r="M16" s="13"/>
      <c r="N16" s="37">
        <v>42004</v>
      </c>
      <c r="O16" s="13"/>
      <c r="P16" s="13"/>
      <c r="Q16" s="37">
        <v>42369</v>
      </c>
      <c r="R16" s="13"/>
      <c r="S16" s="13"/>
      <c r="T16" s="37">
        <v>42735</v>
      </c>
      <c r="U16" s="13"/>
      <c r="V16" s="13"/>
      <c r="W16" s="37">
        <v>43100</v>
      </c>
      <c r="X16" s="13"/>
      <c r="Y16" s="13"/>
      <c r="Z16" s="37">
        <v>43465</v>
      </c>
      <c r="AA16" s="13"/>
      <c r="AB16" s="13"/>
      <c r="AC16" s="37">
        <v>43830</v>
      </c>
      <c r="AD16" s="13"/>
      <c r="AE16" s="13"/>
      <c r="AF16" s="37">
        <v>44196</v>
      </c>
      <c r="AG16" s="13"/>
      <c r="AH16" s="13"/>
      <c r="AI16" s="37">
        <v>44561</v>
      </c>
      <c r="AJ16" s="13"/>
      <c r="AK16" s="13"/>
      <c r="AL16" s="37">
        <v>44926</v>
      </c>
      <c r="AM16" s="13"/>
      <c r="AN16" s="13"/>
      <c r="AO16" s="37">
        <v>45291</v>
      </c>
      <c r="AP16" s="13"/>
      <c r="AQ16" s="13"/>
      <c r="AR16" s="37">
        <v>45657</v>
      </c>
      <c r="AS16" s="13"/>
      <c r="AT16" s="13"/>
      <c r="AU16" s="37">
        <v>46022</v>
      </c>
      <c r="AV16" s="38">
        <v>41639</v>
      </c>
      <c r="AW16" s="38">
        <v>42004</v>
      </c>
      <c r="AX16" s="38">
        <v>42369</v>
      </c>
      <c r="AY16" s="38">
        <v>42735</v>
      </c>
      <c r="AZ16" s="38">
        <v>43100</v>
      </c>
      <c r="BA16" s="38">
        <v>43465</v>
      </c>
      <c r="BB16" s="38">
        <v>43830</v>
      </c>
      <c r="BC16" s="38">
        <v>44196</v>
      </c>
      <c r="BD16" s="38">
        <v>44561</v>
      </c>
      <c r="BE16" s="38">
        <v>44926</v>
      </c>
      <c r="BF16" s="38">
        <v>45291</v>
      </c>
      <c r="BG16" s="38">
        <v>45657</v>
      </c>
      <c r="BH16" s="107">
        <v>46022</v>
      </c>
    </row>
    <row r="17" spans="1:60" x14ac:dyDescent="0.15">
      <c r="A17" s="39" t="s">
        <v>139</v>
      </c>
      <c r="D17" s="2" t="s">
        <v>140</v>
      </c>
      <c r="E17" s="45">
        <v>30</v>
      </c>
      <c r="F17" s="40">
        <f>100%/E17</f>
        <v>3.3333333333333333E-2</v>
      </c>
      <c r="G17" s="6">
        <v>120114</v>
      </c>
      <c r="H17" s="6"/>
      <c r="I17" s="6"/>
      <c r="J17" s="6">
        <f>+G17+H17+I17</f>
        <v>120114</v>
      </c>
      <c r="K17" s="6">
        <v>0</v>
      </c>
      <c r="L17" s="6"/>
      <c r="M17" s="6"/>
      <c r="N17" s="6">
        <f>+K17+L17+M17</f>
        <v>0</v>
      </c>
      <c r="O17" s="6"/>
      <c r="P17" s="6"/>
      <c r="Q17" s="6">
        <f t="shared" ref="Q17" si="29">+N17+O17+P17</f>
        <v>0</v>
      </c>
      <c r="R17" s="6"/>
      <c r="S17" s="6"/>
      <c r="T17" s="6">
        <f t="shared" ref="T17" si="30">+Q17+R17+S17</f>
        <v>0</v>
      </c>
      <c r="U17" s="6">
        <f>+ROUND(+$J17/$E17,2)*5</f>
        <v>20019</v>
      </c>
      <c r="V17" s="6"/>
      <c r="W17" s="6">
        <f t="shared" ref="W17" si="31">+T17+U17+V17</f>
        <v>20019</v>
      </c>
      <c r="X17" s="6">
        <f>+ROUND(+$J17/$E17,2)</f>
        <v>4003.8</v>
      </c>
      <c r="Y17" s="6"/>
      <c r="Z17" s="6">
        <f t="shared" ref="Z17" si="32">+W17+X17+Y17</f>
        <v>24022.799999999999</v>
      </c>
      <c r="AA17" s="6">
        <f>+ROUND(+$J17/$E17,2)</f>
        <v>4003.8</v>
      </c>
      <c r="AB17" s="6"/>
      <c r="AC17" s="6">
        <f t="shared" ref="AC17" si="33">+Z17+AA17+AB17</f>
        <v>28026.6</v>
      </c>
      <c r="AD17" s="6">
        <f>+ROUND(+$J17/$E17,2)</f>
        <v>4003.8</v>
      </c>
      <c r="AE17" s="6"/>
      <c r="AF17" s="6">
        <f t="shared" ref="AF17" si="34">+AC17+AD17+AE17</f>
        <v>32030.399999999998</v>
      </c>
      <c r="AG17" s="6">
        <f>+ROUND(+$J17/$E17,2)</f>
        <v>4003.8</v>
      </c>
      <c r="AH17" s="6"/>
      <c r="AI17" s="6">
        <f t="shared" ref="AI17:AI18" si="35">+AF17+AG17+AH17</f>
        <v>36034.199999999997</v>
      </c>
      <c r="AJ17" s="6">
        <f>+ROUND(+$J17/$E17,2)</f>
        <v>4003.8</v>
      </c>
      <c r="AK17" s="6"/>
      <c r="AL17" s="6">
        <f t="shared" ref="AL17:AL18" si="36">+AI17+AJ17+AK17</f>
        <v>40038</v>
      </c>
      <c r="AM17" s="6">
        <f>+ROUND(+$J17/$E17,2)</f>
        <v>4003.8</v>
      </c>
      <c r="AN17" s="6"/>
      <c r="AO17" s="6">
        <f t="shared" ref="AO17:AO18" si="37">+AL17+AM17+AN17</f>
        <v>44041.8</v>
      </c>
      <c r="AP17" s="6">
        <f t="shared" ref="AP17:AP18" si="38">+ROUND(+$J17*$F17,2)</f>
        <v>4003.8</v>
      </c>
      <c r="AQ17" s="6"/>
      <c r="AR17" s="6">
        <f t="shared" ref="AR17:AR18" si="39">+AO17+AP17+AQ17</f>
        <v>48045.600000000006</v>
      </c>
      <c r="AS17" s="6">
        <f t="shared" ref="AS17:AS18" si="40">+ROUND(+$J17*$F17,2)</f>
        <v>4003.8</v>
      </c>
      <c r="AT17" s="6"/>
      <c r="AU17" s="6">
        <f t="shared" ref="AU17:AU18" si="41">+AR17+AS17+AT17</f>
        <v>52049.400000000009</v>
      </c>
      <c r="AV17" s="6">
        <f>+J17-K17</f>
        <v>120114</v>
      </c>
      <c r="AW17" s="6">
        <f>+J17-N17</f>
        <v>120114</v>
      </c>
      <c r="AX17" s="6">
        <f>+J17-Q17</f>
        <v>120114</v>
      </c>
      <c r="AY17" s="6">
        <f>+J17-T17</f>
        <v>120114</v>
      </c>
      <c r="AZ17" s="6">
        <f>+J17-W17</f>
        <v>100095</v>
      </c>
      <c r="BA17" s="6">
        <f>+J17-Z17</f>
        <v>96091.199999999997</v>
      </c>
      <c r="BB17" s="6">
        <f t="shared" ref="BB17" si="42">+J17-AC17</f>
        <v>92087.4</v>
      </c>
      <c r="BC17" s="6">
        <f t="shared" ref="BC17" si="43">+J17-AF17</f>
        <v>88083.6</v>
      </c>
      <c r="BD17" s="6">
        <f t="shared" ref="BD17:BD18" si="44">+J17-AI17</f>
        <v>84079.8</v>
      </c>
      <c r="BE17" s="6">
        <f t="shared" ref="BE17:BE18" si="45">+J17-AL17</f>
        <v>80076</v>
      </c>
      <c r="BF17" s="6">
        <f t="shared" ref="BF17:BF18" si="46">+J17-AO17</f>
        <v>76072.2</v>
      </c>
      <c r="BG17" s="6">
        <f t="shared" ref="BG17:BG18" si="47">+J17-AR17</f>
        <v>72068.399999999994</v>
      </c>
      <c r="BH17" s="6">
        <f t="shared" ref="BH17:BH18" si="48">+$J17-AU17</f>
        <v>68064.599999999991</v>
      </c>
    </row>
    <row r="18" spans="1:60" x14ac:dyDescent="0.15">
      <c r="A18" s="39">
        <v>2021</v>
      </c>
      <c r="D18" s="2" t="s">
        <v>248</v>
      </c>
      <c r="E18" s="45">
        <v>10</v>
      </c>
      <c r="F18" s="40">
        <v>0.1</v>
      </c>
      <c r="G18" s="6">
        <v>102950.16</v>
      </c>
      <c r="H18" s="6"/>
      <c r="I18" s="6"/>
      <c r="J18" s="6">
        <f>+G18+H18+I18</f>
        <v>102950.16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>
        <f>+ROUND(+$J18/$E18,2)</f>
        <v>10295.02</v>
      </c>
      <c r="AH18" s="6"/>
      <c r="AI18" s="6">
        <f t="shared" si="35"/>
        <v>10295.02</v>
      </c>
      <c r="AJ18" s="6">
        <f>+ROUND(+$J18/$E18,2)</f>
        <v>10295.02</v>
      </c>
      <c r="AK18" s="6"/>
      <c r="AL18" s="6">
        <f t="shared" si="36"/>
        <v>20590.04</v>
      </c>
      <c r="AM18" s="6">
        <f>+ROUND(+$J18/$E18,2)</f>
        <v>10295.02</v>
      </c>
      <c r="AN18" s="6"/>
      <c r="AO18" s="6">
        <f t="shared" si="37"/>
        <v>30885.06</v>
      </c>
      <c r="AP18" s="6">
        <f t="shared" si="38"/>
        <v>10295.02</v>
      </c>
      <c r="AQ18" s="6"/>
      <c r="AR18" s="6">
        <f t="shared" si="39"/>
        <v>41180.080000000002</v>
      </c>
      <c r="AS18" s="6">
        <f t="shared" si="40"/>
        <v>10295.02</v>
      </c>
      <c r="AT18" s="6"/>
      <c r="AU18" s="6">
        <f t="shared" si="41"/>
        <v>51475.100000000006</v>
      </c>
      <c r="AV18" s="6"/>
      <c r="AW18" s="6"/>
      <c r="AX18" s="6"/>
      <c r="AY18" s="6"/>
      <c r="AZ18" s="6"/>
      <c r="BA18" s="6"/>
      <c r="BB18" s="6"/>
      <c r="BC18" s="6"/>
      <c r="BD18" s="6">
        <f t="shared" si="44"/>
        <v>92655.14</v>
      </c>
      <c r="BE18" s="6">
        <f t="shared" si="45"/>
        <v>82360.12</v>
      </c>
      <c r="BF18" s="6">
        <f t="shared" si="46"/>
        <v>72065.100000000006</v>
      </c>
      <c r="BG18" s="6">
        <f t="shared" si="47"/>
        <v>61770.080000000002</v>
      </c>
      <c r="BH18" s="6">
        <f t="shared" si="48"/>
        <v>51475.06</v>
      </c>
    </row>
    <row r="19" spans="1:60" x14ac:dyDescent="0.15">
      <c r="A19" s="41" t="s">
        <v>143</v>
      </c>
      <c r="B19" s="41"/>
      <c r="C19" s="41"/>
      <c r="D19" s="42"/>
      <c r="E19" s="28"/>
      <c r="F19" s="43"/>
      <c r="G19" s="44">
        <f t="shared" ref="G19:BE19" si="49">SUM(G17:G18)</f>
        <v>223064.16</v>
      </c>
      <c r="H19" s="44">
        <f t="shared" si="49"/>
        <v>0</v>
      </c>
      <c r="I19" s="44">
        <f t="shared" si="49"/>
        <v>0</v>
      </c>
      <c r="J19" s="44">
        <f t="shared" si="49"/>
        <v>223064.16</v>
      </c>
      <c r="K19" s="44">
        <f t="shared" si="49"/>
        <v>0</v>
      </c>
      <c r="L19" s="44">
        <f t="shared" si="49"/>
        <v>0</v>
      </c>
      <c r="M19" s="44">
        <f t="shared" si="49"/>
        <v>0</v>
      </c>
      <c r="N19" s="44">
        <f t="shared" si="49"/>
        <v>0</v>
      </c>
      <c r="O19" s="44">
        <f t="shared" si="49"/>
        <v>0</v>
      </c>
      <c r="P19" s="44">
        <f t="shared" si="49"/>
        <v>0</v>
      </c>
      <c r="Q19" s="44">
        <f t="shared" si="49"/>
        <v>0</v>
      </c>
      <c r="R19" s="44">
        <f t="shared" si="49"/>
        <v>0</v>
      </c>
      <c r="S19" s="44">
        <f t="shared" si="49"/>
        <v>0</v>
      </c>
      <c r="T19" s="44">
        <f t="shared" si="49"/>
        <v>0</v>
      </c>
      <c r="U19" s="44">
        <f t="shared" si="49"/>
        <v>20019</v>
      </c>
      <c r="V19" s="44">
        <f t="shared" si="49"/>
        <v>0</v>
      </c>
      <c r="W19" s="44">
        <f t="shared" si="49"/>
        <v>20019</v>
      </c>
      <c r="X19" s="44">
        <f t="shared" si="49"/>
        <v>4003.8</v>
      </c>
      <c r="Y19" s="44">
        <f t="shared" si="49"/>
        <v>0</v>
      </c>
      <c r="Z19" s="44">
        <f t="shared" si="49"/>
        <v>24022.799999999999</v>
      </c>
      <c r="AA19" s="44">
        <f t="shared" si="49"/>
        <v>4003.8</v>
      </c>
      <c r="AB19" s="44">
        <f t="shared" si="49"/>
        <v>0</v>
      </c>
      <c r="AC19" s="44">
        <f t="shared" si="49"/>
        <v>28026.6</v>
      </c>
      <c r="AD19" s="44">
        <f t="shared" si="49"/>
        <v>4003.8</v>
      </c>
      <c r="AE19" s="44">
        <f t="shared" si="49"/>
        <v>0</v>
      </c>
      <c r="AF19" s="44">
        <f t="shared" si="49"/>
        <v>32030.399999999998</v>
      </c>
      <c r="AG19" s="44">
        <f t="shared" si="49"/>
        <v>14298.82</v>
      </c>
      <c r="AH19" s="44">
        <f t="shared" si="49"/>
        <v>0</v>
      </c>
      <c r="AI19" s="44">
        <f t="shared" si="49"/>
        <v>46329.22</v>
      </c>
      <c r="AJ19" s="44">
        <f t="shared" si="49"/>
        <v>14298.82</v>
      </c>
      <c r="AK19" s="44">
        <f t="shared" si="49"/>
        <v>0</v>
      </c>
      <c r="AL19" s="44">
        <f t="shared" si="49"/>
        <v>60628.04</v>
      </c>
      <c r="AM19" s="44">
        <f t="shared" ref="AM19:AU19" si="50">SUM(AM17:AM18)</f>
        <v>14298.82</v>
      </c>
      <c r="AN19" s="44">
        <f t="shared" si="50"/>
        <v>0</v>
      </c>
      <c r="AO19" s="44">
        <f t="shared" si="50"/>
        <v>74926.86</v>
      </c>
      <c r="AP19" s="44">
        <f t="shared" si="50"/>
        <v>14298.82</v>
      </c>
      <c r="AQ19" s="44">
        <f t="shared" si="50"/>
        <v>0</v>
      </c>
      <c r="AR19" s="44">
        <f t="shared" si="50"/>
        <v>89225.680000000008</v>
      </c>
      <c r="AS19" s="44">
        <f t="shared" si="50"/>
        <v>14298.82</v>
      </c>
      <c r="AT19" s="44">
        <f t="shared" si="50"/>
        <v>0</v>
      </c>
      <c r="AU19" s="44">
        <f t="shared" si="50"/>
        <v>103524.50000000001</v>
      </c>
      <c r="AV19" s="44">
        <f t="shared" si="49"/>
        <v>120114</v>
      </c>
      <c r="AW19" s="44">
        <f t="shared" si="49"/>
        <v>120114</v>
      </c>
      <c r="AX19" s="44">
        <f t="shared" si="49"/>
        <v>120114</v>
      </c>
      <c r="AY19" s="44">
        <f t="shared" si="49"/>
        <v>120114</v>
      </c>
      <c r="AZ19" s="44">
        <f t="shared" si="49"/>
        <v>100095</v>
      </c>
      <c r="BA19" s="44">
        <f t="shared" si="49"/>
        <v>96091.199999999997</v>
      </c>
      <c r="BB19" s="44">
        <f t="shared" si="49"/>
        <v>92087.4</v>
      </c>
      <c r="BC19" s="44">
        <f t="shared" si="49"/>
        <v>88083.6</v>
      </c>
      <c r="BD19" s="44">
        <f t="shared" si="49"/>
        <v>176734.94</v>
      </c>
      <c r="BE19" s="44">
        <f t="shared" si="49"/>
        <v>162436.12</v>
      </c>
      <c r="BF19" s="44">
        <f t="shared" ref="BF19:BG19" si="51">SUM(BF17:BF18)</f>
        <v>148137.29999999999</v>
      </c>
      <c r="BG19" s="44">
        <f t="shared" si="51"/>
        <v>133838.47999999998</v>
      </c>
      <c r="BH19" s="44">
        <f t="shared" ref="BH19" si="52">SUM(BH17:BH18)</f>
        <v>119539.65999999999</v>
      </c>
    </row>
    <row r="22" spans="1:60" x14ac:dyDescent="0.15">
      <c r="A22" s="27" t="s">
        <v>105</v>
      </c>
      <c r="B22" s="28" t="s">
        <v>243</v>
      </c>
      <c r="C22" s="28" t="s">
        <v>244</v>
      </c>
      <c r="D22" s="28" t="s">
        <v>106</v>
      </c>
      <c r="E22" s="28" t="s">
        <v>107</v>
      </c>
      <c r="F22" s="29" t="s">
        <v>108</v>
      </c>
      <c r="G22" s="28" t="s">
        <v>109</v>
      </c>
      <c r="H22" s="30" t="s">
        <v>110</v>
      </c>
      <c r="I22" s="30" t="s">
        <v>111</v>
      </c>
      <c r="J22" s="28" t="s">
        <v>109</v>
      </c>
      <c r="K22" s="28" t="s">
        <v>112</v>
      </c>
      <c r="L22" s="30" t="s">
        <v>110</v>
      </c>
      <c r="M22" s="30" t="s">
        <v>111</v>
      </c>
      <c r="N22" s="28" t="s">
        <v>112</v>
      </c>
      <c r="O22" s="30" t="s">
        <v>110</v>
      </c>
      <c r="P22" s="30" t="s">
        <v>111</v>
      </c>
      <c r="Q22" s="28" t="s">
        <v>112</v>
      </c>
      <c r="R22" s="30" t="s">
        <v>110</v>
      </c>
      <c r="S22" s="30" t="s">
        <v>111</v>
      </c>
      <c r="T22" s="28" t="s">
        <v>112</v>
      </c>
      <c r="U22" s="30" t="s">
        <v>110</v>
      </c>
      <c r="V22" s="30" t="s">
        <v>111</v>
      </c>
      <c r="W22" s="28" t="s">
        <v>112</v>
      </c>
      <c r="X22" s="30" t="s">
        <v>110</v>
      </c>
      <c r="Y22" s="30" t="s">
        <v>111</v>
      </c>
      <c r="Z22" s="28" t="s">
        <v>112</v>
      </c>
      <c r="AA22" s="30" t="s">
        <v>110</v>
      </c>
      <c r="AB22" s="30" t="s">
        <v>111</v>
      </c>
      <c r="AC22" s="28" t="s">
        <v>112</v>
      </c>
      <c r="AD22" s="30" t="s">
        <v>110</v>
      </c>
      <c r="AE22" s="30" t="s">
        <v>111</v>
      </c>
      <c r="AF22" s="28" t="s">
        <v>112</v>
      </c>
      <c r="AG22" s="30" t="s">
        <v>110</v>
      </c>
      <c r="AH22" s="30" t="s">
        <v>111</v>
      </c>
      <c r="AI22" s="28" t="s">
        <v>112</v>
      </c>
      <c r="AJ22" s="30" t="s">
        <v>110</v>
      </c>
      <c r="AK22" s="30" t="s">
        <v>111</v>
      </c>
      <c r="AL22" s="28" t="s">
        <v>112</v>
      </c>
      <c r="AM22" s="30" t="s">
        <v>110</v>
      </c>
      <c r="AN22" s="30" t="s">
        <v>111</v>
      </c>
      <c r="AO22" s="28" t="s">
        <v>112</v>
      </c>
      <c r="AP22" s="30" t="s">
        <v>110</v>
      </c>
      <c r="AQ22" s="30" t="s">
        <v>111</v>
      </c>
      <c r="AR22" s="28" t="s">
        <v>112</v>
      </c>
      <c r="AS22" s="30" t="s">
        <v>110</v>
      </c>
      <c r="AT22" s="30" t="s">
        <v>111</v>
      </c>
      <c r="AU22" s="28" t="s">
        <v>112</v>
      </c>
      <c r="AV22" s="28" t="s">
        <v>113</v>
      </c>
      <c r="AW22" s="28" t="s">
        <v>113</v>
      </c>
      <c r="AX22" s="28" t="s">
        <v>113</v>
      </c>
      <c r="AY22" s="28" t="s">
        <v>113</v>
      </c>
      <c r="AZ22" s="28" t="s">
        <v>113</v>
      </c>
      <c r="BA22" s="28" t="s">
        <v>113</v>
      </c>
      <c r="BB22" s="28" t="s">
        <v>113</v>
      </c>
      <c r="BC22" s="28" t="s">
        <v>113</v>
      </c>
      <c r="BD22" s="28" t="s">
        <v>113</v>
      </c>
      <c r="BE22" s="28" t="s">
        <v>113</v>
      </c>
      <c r="BF22" s="28" t="s">
        <v>113</v>
      </c>
      <c r="BG22" s="28" t="s">
        <v>113</v>
      </c>
      <c r="BH22" s="105" t="s">
        <v>113</v>
      </c>
    </row>
    <row r="23" spans="1:60" x14ac:dyDescent="0.15">
      <c r="A23" s="31"/>
      <c r="B23" s="32"/>
      <c r="C23" s="32"/>
      <c r="D23" s="32"/>
      <c r="E23" s="32"/>
      <c r="F23" s="33"/>
      <c r="G23" s="32" t="s">
        <v>114</v>
      </c>
      <c r="H23" s="32"/>
      <c r="I23" s="32"/>
      <c r="J23" s="32" t="s">
        <v>115</v>
      </c>
      <c r="K23" s="32" t="s">
        <v>116</v>
      </c>
      <c r="L23" s="32">
        <v>2014</v>
      </c>
      <c r="M23" s="32">
        <v>2014</v>
      </c>
      <c r="N23" s="32" t="s">
        <v>116</v>
      </c>
      <c r="O23" s="32">
        <v>2015</v>
      </c>
      <c r="P23" s="32">
        <v>2015</v>
      </c>
      <c r="Q23" s="32" t="s">
        <v>116</v>
      </c>
      <c r="R23" s="32">
        <v>2016</v>
      </c>
      <c r="S23" s="32">
        <v>2016</v>
      </c>
      <c r="T23" s="32" t="s">
        <v>116</v>
      </c>
      <c r="U23" s="32">
        <v>2017</v>
      </c>
      <c r="V23" s="32">
        <v>2017</v>
      </c>
      <c r="W23" s="32" t="s">
        <v>116</v>
      </c>
      <c r="X23" s="32">
        <v>2018</v>
      </c>
      <c r="Y23" s="32">
        <v>2018</v>
      </c>
      <c r="Z23" s="32" t="s">
        <v>116</v>
      </c>
      <c r="AA23" s="32">
        <v>2019</v>
      </c>
      <c r="AB23" s="32">
        <v>2019</v>
      </c>
      <c r="AC23" s="32" t="s">
        <v>116</v>
      </c>
      <c r="AD23" s="32">
        <v>2020</v>
      </c>
      <c r="AE23" s="32">
        <v>2020</v>
      </c>
      <c r="AF23" s="32" t="s">
        <v>116</v>
      </c>
      <c r="AG23" s="32">
        <v>2021</v>
      </c>
      <c r="AH23" s="32">
        <v>2021</v>
      </c>
      <c r="AI23" s="32" t="s">
        <v>116</v>
      </c>
      <c r="AJ23" s="32">
        <v>2022</v>
      </c>
      <c r="AK23" s="32">
        <v>2022</v>
      </c>
      <c r="AL23" s="32" t="s">
        <v>116</v>
      </c>
      <c r="AM23" s="32">
        <v>2023</v>
      </c>
      <c r="AN23" s="32">
        <v>2023</v>
      </c>
      <c r="AO23" s="32" t="s">
        <v>116</v>
      </c>
      <c r="AP23" s="32">
        <v>2024</v>
      </c>
      <c r="AQ23" s="32">
        <v>2024</v>
      </c>
      <c r="AR23" s="32" t="s">
        <v>116</v>
      </c>
      <c r="AS23" s="32">
        <v>2025</v>
      </c>
      <c r="AT23" s="32">
        <v>2025</v>
      </c>
      <c r="AU23" s="32" t="s">
        <v>116</v>
      </c>
      <c r="AV23" s="32" t="s">
        <v>117</v>
      </c>
      <c r="AW23" s="32" t="s">
        <v>117</v>
      </c>
      <c r="AX23" s="32" t="s">
        <v>117</v>
      </c>
      <c r="AY23" s="32" t="s">
        <v>117</v>
      </c>
      <c r="AZ23" s="32" t="s">
        <v>117</v>
      </c>
      <c r="BA23" s="32" t="s">
        <v>117</v>
      </c>
      <c r="BB23" s="32" t="s">
        <v>117</v>
      </c>
      <c r="BC23" s="32" t="s">
        <v>117</v>
      </c>
      <c r="BD23" s="32" t="s">
        <v>117</v>
      </c>
      <c r="BE23" s="32" t="s">
        <v>117</v>
      </c>
      <c r="BF23" s="32" t="s">
        <v>117</v>
      </c>
      <c r="BG23" s="32" t="s">
        <v>117</v>
      </c>
      <c r="BH23" s="106" t="s">
        <v>117</v>
      </c>
    </row>
    <row r="24" spans="1:60" x14ac:dyDescent="0.15">
      <c r="A24" s="34"/>
      <c r="B24" s="35"/>
      <c r="C24" s="35"/>
      <c r="D24" s="35"/>
      <c r="E24" s="35"/>
      <c r="F24" s="36"/>
      <c r="G24" s="13"/>
      <c r="H24" s="13"/>
      <c r="I24" s="13"/>
      <c r="J24" s="13"/>
      <c r="K24" s="37">
        <v>41639</v>
      </c>
      <c r="L24" s="13"/>
      <c r="M24" s="13"/>
      <c r="N24" s="37">
        <v>42004</v>
      </c>
      <c r="O24" s="13"/>
      <c r="P24" s="13"/>
      <c r="Q24" s="37">
        <v>42369</v>
      </c>
      <c r="R24" s="13"/>
      <c r="S24" s="13"/>
      <c r="T24" s="37">
        <v>42735</v>
      </c>
      <c r="U24" s="13"/>
      <c r="V24" s="13"/>
      <c r="W24" s="37">
        <v>43100</v>
      </c>
      <c r="X24" s="13"/>
      <c r="Y24" s="13"/>
      <c r="Z24" s="37">
        <v>43465</v>
      </c>
      <c r="AA24" s="13"/>
      <c r="AB24" s="13"/>
      <c r="AC24" s="37">
        <v>43830</v>
      </c>
      <c r="AD24" s="13"/>
      <c r="AE24" s="13"/>
      <c r="AF24" s="37">
        <v>44196</v>
      </c>
      <c r="AG24" s="13"/>
      <c r="AH24" s="13"/>
      <c r="AI24" s="37">
        <v>44561</v>
      </c>
      <c r="AJ24" s="13"/>
      <c r="AK24" s="13"/>
      <c r="AL24" s="37">
        <v>44926</v>
      </c>
      <c r="AM24" s="13"/>
      <c r="AN24" s="13"/>
      <c r="AO24" s="37">
        <v>45291</v>
      </c>
      <c r="AP24" s="13"/>
      <c r="AQ24" s="13"/>
      <c r="AR24" s="37">
        <v>45657</v>
      </c>
      <c r="AS24" s="13"/>
      <c r="AT24" s="13"/>
      <c r="AU24" s="37">
        <v>46022</v>
      </c>
      <c r="AV24" s="38">
        <v>41639</v>
      </c>
      <c r="AW24" s="38">
        <v>42004</v>
      </c>
      <c r="AX24" s="38">
        <v>42369</v>
      </c>
      <c r="AY24" s="38">
        <v>42735</v>
      </c>
      <c r="AZ24" s="38">
        <v>43100</v>
      </c>
      <c r="BA24" s="38">
        <v>43465</v>
      </c>
      <c r="BB24" s="38">
        <v>43830</v>
      </c>
      <c r="BC24" s="38">
        <v>44196</v>
      </c>
      <c r="BD24" s="38">
        <v>44561</v>
      </c>
      <c r="BE24" s="38">
        <v>44926</v>
      </c>
      <c r="BF24" s="38">
        <v>45291</v>
      </c>
      <c r="BG24" s="38">
        <v>45657</v>
      </c>
      <c r="BH24" s="107">
        <v>46022</v>
      </c>
    </row>
    <row r="25" spans="1:60" x14ac:dyDescent="0.15">
      <c r="A25" s="39" t="s">
        <v>144</v>
      </c>
      <c r="D25" s="2" t="s">
        <v>145</v>
      </c>
      <c r="E25" s="39" t="s">
        <v>146</v>
      </c>
      <c r="F25" s="40">
        <v>0.2</v>
      </c>
      <c r="G25" s="6">
        <v>3727.9</v>
      </c>
      <c r="H25" s="6"/>
      <c r="I25" s="6"/>
      <c r="J25" s="6">
        <f>+G25+H25+I25</f>
        <v>3727.9</v>
      </c>
      <c r="K25" s="6">
        <v>0</v>
      </c>
      <c r="L25" s="6"/>
      <c r="M25" s="6"/>
      <c r="N25" s="6"/>
      <c r="O25" s="6"/>
      <c r="P25" s="6"/>
      <c r="Q25" s="6"/>
      <c r="R25" s="6">
        <f>+ROUND(+$J25*$F25,2)</f>
        <v>745.58</v>
      </c>
      <c r="S25" s="6"/>
      <c r="T25" s="6">
        <f t="shared" ref="T25:T26" si="53">+Q25+R25+S25</f>
        <v>745.58</v>
      </c>
      <c r="U25" s="6">
        <f>+ROUND(+$J25*$F25,2)</f>
        <v>745.58</v>
      </c>
      <c r="V25" s="6"/>
      <c r="W25" s="6">
        <f t="shared" ref="W25:W26" si="54">+T25+U25+V25</f>
        <v>1491.16</v>
      </c>
      <c r="X25" s="6">
        <f>+ROUND(+$J25*$F25,2)</f>
        <v>745.58</v>
      </c>
      <c r="Y25" s="6"/>
      <c r="Z25" s="6">
        <f t="shared" ref="Z25:Z26" si="55">+W25+X25+Y25</f>
        <v>2236.7400000000002</v>
      </c>
      <c r="AA25" s="6">
        <f t="shared" ref="AA25:AA26" si="56">+ROUND(+$J25*$F25,2)</f>
        <v>745.58</v>
      </c>
      <c r="AB25" s="6"/>
      <c r="AC25" s="6">
        <f t="shared" ref="AC25:AC26" si="57">+Z25+AA25+AB25</f>
        <v>2982.32</v>
      </c>
      <c r="AD25" s="6">
        <f t="shared" ref="AD25:AD26" si="58">+ROUND(+$J25*$F25,2)</f>
        <v>745.58</v>
      </c>
      <c r="AE25" s="6"/>
      <c r="AF25" s="6">
        <f t="shared" ref="AF25:AF26" si="59">+AC25+AD25+AE25</f>
        <v>3727.9</v>
      </c>
      <c r="AG25" s="6"/>
      <c r="AH25" s="6"/>
      <c r="AI25" s="6">
        <f t="shared" ref="AI25:AI26" si="60">+AF25+AG25+AH25</f>
        <v>3727.9</v>
      </c>
      <c r="AJ25" s="6"/>
      <c r="AK25" s="6"/>
      <c r="AL25" s="6">
        <f t="shared" ref="AL25:AL26" si="61">+AI25+AJ25+AK25</f>
        <v>3727.9</v>
      </c>
      <c r="AM25" s="6"/>
      <c r="AN25" s="6"/>
      <c r="AO25" s="6">
        <f t="shared" ref="AO25:AO26" si="62">+AL25+AM25+AN25</f>
        <v>3727.9</v>
      </c>
      <c r="AP25" s="6"/>
      <c r="AQ25" s="6"/>
      <c r="AR25" s="6">
        <f t="shared" ref="AR25:AR26" si="63">+AO25+AP25+AQ25</f>
        <v>3727.9</v>
      </c>
      <c r="AS25" s="6"/>
      <c r="AT25" s="6"/>
      <c r="AU25" s="6">
        <f t="shared" ref="AU25:AU26" si="64">+AR25+AS25+AT25</f>
        <v>3727.9</v>
      </c>
      <c r="AV25" s="6"/>
      <c r="AW25" s="6"/>
      <c r="AX25" s="6"/>
      <c r="AY25" s="6">
        <f>+J25-T25</f>
        <v>2982.32</v>
      </c>
      <c r="AZ25" s="6">
        <f>+J25-W25</f>
        <v>2236.7399999999998</v>
      </c>
      <c r="BA25" s="6">
        <f>+J25-Z25</f>
        <v>1491.1599999999999</v>
      </c>
      <c r="BB25" s="6">
        <f t="shared" ref="BB25:BB26" si="65">+J25-AC25</f>
        <v>745.57999999999993</v>
      </c>
      <c r="BC25" s="6">
        <f t="shared" ref="BC25:BC26" si="66">+J25-AF25</f>
        <v>0</v>
      </c>
      <c r="BD25" s="6">
        <f t="shared" ref="BD25:BD26" si="67">+J25-AI25</f>
        <v>0</v>
      </c>
      <c r="BE25" s="6">
        <f t="shared" ref="BE25:BE26" si="68">+J25-AL25</f>
        <v>0</v>
      </c>
      <c r="BF25" s="6">
        <f t="shared" ref="BF25:BF26" si="69">+J25-AO25</f>
        <v>0</v>
      </c>
      <c r="BG25" s="6">
        <f t="shared" ref="BG25:BG26" si="70">+J25-AR25</f>
        <v>0</v>
      </c>
      <c r="BH25" s="6">
        <f t="shared" ref="BH25:BH26" si="71">+$J25-AU25</f>
        <v>0</v>
      </c>
    </row>
    <row r="26" spans="1:60" x14ac:dyDescent="0.15">
      <c r="A26" s="39" t="s">
        <v>147</v>
      </c>
      <c r="D26" s="2" t="s">
        <v>148</v>
      </c>
      <c r="E26" s="39" t="s">
        <v>146</v>
      </c>
      <c r="F26" s="40">
        <v>0.2</v>
      </c>
      <c r="G26" s="6">
        <v>1573.75</v>
      </c>
      <c r="H26" s="6"/>
      <c r="I26" s="6"/>
      <c r="J26" s="6">
        <f>+G26+H26+I26</f>
        <v>1573.75</v>
      </c>
      <c r="K26" s="6"/>
      <c r="L26" s="6"/>
      <c r="M26" s="6"/>
      <c r="N26" s="6"/>
      <c r="O26" s="6"/>
      <c r="P26" s="6"/>
      <c r="Q26" s="6"/>
      <c r="R26" s="6">
        <f>+ROUND(+J26*F26,2)</f>
        <v>314.75</v>
      </c>
      <c r="S26" s="6"/>
      <c r="T26" s="6">
        <f t="shared" si="53"/>
        <v>314.75</v>
      </c>
      <c r="U26" s="6">
        <f>+ROUND(+$J26*$F26,2)</f>
        <v>314.75</v>
      </c>
      <c r="V26" s="6"/>
      <c r="W26" s="6">
        <f t="shared" si="54"/>
        <v>629.5</v>
      </c>
      <c r="X26" s="6">
        <f>+ROUND(+$J26*$F26,2)</f>
        <v>314.75</v>
      </c>
      <c r="Y26" s="6"/>
      <c r="Z26" s="6">
        <f t="shared" si="55"/>
        <v>944.25</v>
      </c>
      <c r="AA26" s="6">
        <f t="shared" si="56"/>
        <v>314.75</v>
      </c>
      <c r="AB26" s="6"/>
      <c r="AC26" s="6">
        <f t="shared" si="57"/>
        <v>1259</v>
      </c>
      <c r="AD26" s="6">
        <f t="shared" si="58"/>
        <v>314.75</v>
      </c>
      <c r="AE26" s="6"/>
      <c r="AF26" s="6">
        <f t="shared" si="59"/>
        <v>1573.75</v>
      </c>
      <c r="AG26" s="6"/>
      <c r="AH26" s="6"/>
      <c r="AI26" s="6">
        <f t="shared" si="60"/>
        <v>1573.75</v>
      </c>
      <c r="AJ26" s="6"/>
      <c r="AK26" s="6"/>
      <c r="AL26" s="6">
        <f t="shared" si="61"/>
        <v>1573.75</v>
      </c>
      <c r="AM26" s="6"/>
      <c r="AN26" s="6"/>
      <c r="AO26" s="6">
        <f t="shared" si="62"/>
        <v>1573.75</v>
      </c>
      <c r="AP26" s="6"/>
      <c r="AQ26" s="6"/>
      <c r="AR26" s="6">
        <f t="shared" si="63"/>
        <v>1573.75</v>
      </c>
      <c r="AS26" s="6"/>
      <c r="AT26" s="6"/>
      <c r="AU26" s="6">
        <f t="shared" si="64"/>
        <v>1573.75</v>
      </c>
      <c r="AV26" s="6"/>
      <c r="AW26" s="6"/>
      <c r="AX26" s="6"/>
      <c r="AY26" s="6">
        <f>+J26-T26</f>
        <v>1259</v>
      </c>
      <c r="AZ26" s="6">
        <f>+J26-W26</f>
        <v>944.25</v>
      </c>
      <c r="BA26" s="6">
        <f>+J26-Z26</f>
        <v>629.5</v>
      </c>
      <c r="BB26" s="6">
        <f t="shared" si="65"/>
        <v>314.75</v>
      </c>
      <c r="BC26" s="6">
        <f t="shared" si="66"/>
        <v>0</v>
      </c>
      <c r="BD26" s="6">
        <f t="shared" si="67"/>
        <v>0</v>
      </c>
      <c r="BE26" s="6">
        <f t="shared" si="68"/>
        <v>0</v>
      </c>
      <c r="BF26" s="6">
        <f t="shared" si="69"/>
        <v>0</v>
      </c>
      <c r="BG26" s="6">
        <f t="shared" si="70"/>
        <v>0</v>
      </c>
      <c r="BH26" s="6">
        <f t="shared" si="71"/>
        <v>0</v>
      </c>
    </row>
    <row r="27" spans="1:60" x14ac:dyDescent="0.15">
      <c r="A27" s="41" t="s">
        <v>149</v>
      </c>
      <c r="B27" s="41"/>
      <c r="C27" s="41"/>
      <c r="D27" s="42"/>
      <c r="E27" s="28"/>
      <c r="F27" s="43"/>
      <c r="G27" s="44">
        <f t="shared" ref="G27:AZ27" si="72">SUM(G25:G26)</f>
        <v>5301.65</v>
      </c>
      <c r="H27" s="44">
        <f t="shared" si="72"/>
        <v>0</v>
      </c>
      <c r="I27" s="44">
        <f t="shared" si="72"/>
        <v>0</v>
      </c>
      <c r="J27" s="44">
        <f t="shared" si="72"/>
        <v>5301.65</v>
      </c>
      <c r="K27" s="44">
        <f t="shared" si="72"/>
        <v>0</v>
      </c>
      <c r="L27" s="44">
        <f t="shared" si="72"/>
        <v>0</v>
      </c>
      <c r="M27" s="44">
        <f t="shared" si="72"/>
        <v>0</v>
      </c>
      <c r="N27" s="44">
        <f t="shared" si="72"/>
        <v>0</v>
      </c>
      <c r="O27" s="44">
        <f t="shared" si="72"/>
        <v>0</v>
      </c>
      <c r="P27" s="44">
        <f t="shared" si="72"/>
        <v>0</v>
      </c>
      <c r="Q27" s="44">
        <f t="shared" si="72"/>
        <v>0</v>
      </c>
      <c r="R27" s="44">
        <f t="shared" si="72"/>
        <v>1060.33</v>
      </c>
      <c r="S27" s="44">
        <f t="shared" si="72"/>
        <v>0</v>
      </c>
      <c r="T27" s="44">
        <f t="shared" si="72"/>
        <v>1060.33</v>
      </c>
      <c r="U27" s="44">
        <f t="shared" si="72"/>
        <v>1060.33</v>
      </c>
      <c r="V27" s="44">
        <f t="shared" si="72"/>
        <v>0</v>
      </c>
      <c r="W27" s="44">
        <f t="shared" si="72"/>
        <v>2120.66</v>
      </c>
      <c r="X27" s="44">
        <f t="shared" si="72"/>
        <v>1060.33</v>
      </c>
      <c r="Y27" s="44">
        <f t="shared" si="72"/>
        <v>0</v>
      </c>
      <c r="Z27" s="44">
        <f t="shared" si="72"/>
        <v>3180.9900000000002</v>
      </c>
      <c r="AA27" s="44">
        <f t="shared" si="72"/>
        <v>1060.33</v>
      </c>
      <c r="AB27" s="44">
        <f t="shared" si="72"/>
        <v>0</v>
      </c>
      <c r="AC27" s="44">
        <f t="shared" si="72"/>
        <v>4241.32</v>
      </c>
      <c r="AD27" s="44">
        <f t="shared" si="72"/>
        <v>1060.33</v>
      </c>
      <c r="AE27" s="44">
        <f t="shared" si="72"/>
        <v>0</v>
      </c>
      <c r="AF27" s="44">
        <f t="shared" si="72"/>
        <v>5301.65</v>
      </c>
      <c r="AG27" s="44">
        <f t="shared" si="72"/>
        <v>0</v>
      </c>
      <c r="AH27" s="44">
        <f t="shared" si="72"/>
        <v>0</v>
      </c>
      <c r="AI27" s="44">
        <f t="shared" si="72"/>
        <v>5301.65</v>
      </c>
      <c r="AJ27" s="44">
        <f t="shared" si="72"/>
        <v>0</v>
      </c>
      <c r="AK27" s="44">
        <f t="shared" si="72"/>
        <v>0</v>
      </c>
      <c r="AL27" s="44">
        <f t="shared" si="72"/>
        <v>5301.65</v>
      </c>
      <c r="AM27" s="44">
        <f t="shared" ref="AM27:AU27" si="73">SUM(AM25:AM26)</f>
        <v>0</v>
      </c>
      <c r="AN27" s="44">
        <f t="shared" si="73"/>
        <v>0</v>
      </c>
      <c r="AO27" s="44">
        <f t="shared" si="73"/>
        <v>5301.65</v>
      </c>
      <c r="AP27" s="44">
        <f t="shared" si="73"/>
        <v>0</v>
      </c>
      <c r="AQ27" s="44">
        <f t="shared" si="73"/>
        <v>0</v>
      </c>
      <c r="AR27" s="44">
        <f t="shared" si="73"/>
        <v>5301.65</v>
      </c>
      <c r="AS27" s="44">
        <f t="shared" si="73"/>
        <v>0</v>
      </c>
      <c r="AT27" s="44">
        <f t="shared" si="73"/>
        <v>0</v>
      </c>
      <c r="AU27" s="44">
        <f t="shared" si="73"/>
        <v>5301.65</v>
      </c>
      <c r="AV27" s="44">
        <f t="shared" si="72"/>
        <v>0</v>
      </c>
      <c r="AW27" s="44">
        <f t="shared" si="72"/>
        <v>0</v>
      </c>
      <c r="AX27" s="44">
        <f t="shared" si="72"/>
        <v>0</v>
      </c>
      <c r="AY27" s="44">
        <f t="shared" si="72"/>
        <v>4241.32</v>
      </c>
      <c r="AZ27" s="44">
        <f t="shared" si="72"/>
        <v>3180.99</v>
      </c>
      <c r="BA27" s="44">
        <f t="shared" ref="BA27:BG27" si="74">SUM(BA25:BA26)</f>
        <v>2120.66</v>
      </c>
      <c r="BB27" s="44">
        <f t="shared" si="74"/>
        <v>1060.33</v>
      </c>
      <c r="BC27" s="44">
        <f t="shared" si="74"/>
        <v>0</v>
      </c>
      <c r="BD27" s="44">
        <f t="shared" si="74"/>
        <v>0</v>
      </c>
      <c r="BE27" s="44">
        <f t="shared" si="74"/>
        <v>0</v>
      </c>
      <c r="BF27" s="44">
        <f t="shared" si="74"/>
        <v>0</v>
      </c>
      <c r="BG27" s="44">
        <f t="shared" si="74"/>
        <v>0</v>
      </c>
      <c r="BH27" s="44">
        <f t="shared" ref="BH27" si="75">SUM(BH25:BH26)</f>
        <v>0</v>
      </c>
    </row>
    <row r="28" spans="1:60" x14ac:dyDescent="0.15">
      <c r="A28" s="46"/>
      <c r="B28" s="46"/>
      <c r="C28" s="46"/>
      <c r="D28" s="11"/>
      <c r="E28" s="32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</row>
    <row r="29" spans="1:60" x14ac:dyDescent="0.15">
      <c r="A29" s="27" t="s">
        <v>105</v>
      </c>
      <c r="B29" s="28" t="s">
        <v>243</v>
      </c>
      <c r="C29" s="28" t="s">
        <v>244</v>
      </c>
      <c r="D29" s="28" t="s">
        <v>106</v>
      </c>
      <c r="E29" s="28" t="s">
        <v>107</v>
      </c>
      <c r="F29" s="29" t="s">
        <v>108</v>
      </c>
      <c r="G29" s="28" t="s">
        <v>109</v>
      </c>
      <c r="H29" s="30" t="s">
        <v>110</v>
      </c>
      <c r="I29" s="30" t="s">
        <v>111</v>
      </c>
      <c r="J29" s="28" t="s">
        <v>109</v>
      </c>
      <c r="K29" s="28" t="s">
        <v>112</v>
      </c>
      <c r="L29" s="30" t="s">
        <v>110</v>
      </c>
      <c r="M29" s="30" t="s">
        <v>111</v>
      </c>
      <c r="N29" s="28" t="s">
        <v>112</v>
      </c>
      <c r="O29" s="30" t="s">
        <v>110</v>
      </c>
      <c r="P29" s="30" t="s">
        <v>111</v>
      </c>
      <c r="Q29" s="28" t="s">
        <v>112</v>
      </c>
      <c r="R29" s="30" t="s">
        <v>110</v>
      </c>
      <c r="S29" s="30" t="s">
        <v>111</v>
      </c>
      <c r="T29" s="28" t="s">
        <v>112</v>
      </c>
      <c r="U29" s="30" t="s">
        <v>110</v>
      </c>
      <c r="V29" s="30" t="s">
        <v>111</v>
      </c>
      <c r="W29" s="28" t="s">
        <v>112</v>
      </c>
      <c r="X29" s="30" t="s">
        <v>110</v>
      </c>
      <c r="Y29" s="30" t="s">
        <v>111</v>
      </c>
      <c r="Z29" s="28" t="s">
        <v>112</v>
      </c>
      <c r="AA29" s="30" t="s">
        <v>110</v>
      </c>
      <c r="AB29" s="30" t="s">
        <v>111</v>
      </c>
      <c r="AC29" s="28" t="s">
        <v>112</v>
      </c>
      <c r="AD29" s="30" t="s">
        <v>110</v>
      </c>
      <c r="AE29" s="30" t="s">
        <v>111</v>
      </c>
      <c r="AF29" s="28" t="s">
        <v>112</v>
      </c>
      <c r="AG29" s="30" t="s">
        <v>110</v>
      </c>
      <c r="AH29" s="30" t="s">
        <v>111</v>
      </c>
      <c r="AI29" s="28" t="s">
        <v>112</v>
      </c>
      <c r="AJ29" s="30" t="s">
        <v>110</v>
      </c>
      <c r="AK29" s="30" t="s">
        <v>111</v>
      </c>
      <c r="AL29" s="28" t="s">
        <v>112</v>
      </c>
      <c r="AM29" s="30" t="s">
        <v>110</v>
      </c>
      <c r="AN29" s="30" t="s">
        <v>111</v>
      </c>
      <c r="AO29" s="28" t="s">
        <v>112</v>
      </c>
      <c r="AP29" s="30" t="s">
        <v>110</v>
      </c>
      <c r="AQ29" s="30" t="s">
        <v>111</v>
      </c>
      <c r="AR29" s="28" t="s">
        <v>112</v>
      </c>
      <c r="AS29" s="30" t="s">
        <v>110</v>
      </c>
      <c r="AT29" s="30" t="s">
        <v>111</v>
      </c>
      <c r="AU29" s="28" t="s">
        <v>112</v>
      </c>
      <c r="AV29" s="28" t="s">
        <v>113</v>
      </c>
      <c r="AW29" s="28" t="s">
        <v>113</v>
      </c>
      <c r="AX29" s="28" t="s">
        <v>113</v>
      </c>
      <c r="AY29" s="28" t="s">
        <v>113</v>
      </c>
      <c r="AZ29" s="28" t="s">
        <v>113</v>
      </c>
      <c r="BA29" s="28" t="s">
        <v>113</v>
      </c>
      <c r="BB29" s="28" t="s">
        <v>113</v>
      </c>
      <c r="BC29" s="28" t="s">
        <v>113</v>
      </c>
      <c r="BD29" s="28" t="s">
        <v>113</v>
      </c>
      <c r="BE29" s="28" t="s">
        <v>113</v>
      </c>
      <c r="BF29" s="28" t="s">
        <v>113</v>
      </c>
      <c r="BG29" s="28" t="s">
        <v>113</v>
      </c>
      <c r="BH29" s="105" t="s">
        <v>113</v>
      </c>
    </row>
    <row r="30" spans="1:60" x14ac:dyDescent="0.15">
      <c r="A30" s="31"/>
      <c r="B30" s="32"/>
      <c r="C30" s="32"/>
      <c r="D30" s="32"/>
      <c r="E30" s="32"/>
      <c r="F30" s="33"/>
      <c r="G30" s="32" t="s">
        <v>114</v>
      </c>
      <c r="H30" s="32"/>
      <c r="I30" s="32"/>
      <c r="J30" s="32" t="s">
        <v>115</v>
      </c>
      <c r="K30" s="32" t="s">
        <v>116</v>
      </c>
      <c r="L30" s="32">
        <v>2014</v>
      </c>
      <c r="M30" s="32">
        <v>2014</v>
      </c>
      <c r="N30" s="32" t="s">
        <v>116</v>
      </c>
      <c r="O30" s="32">
        <v>2015</v>
      </c>
      <c r="P30" s="32">
        <v>2015</v>
      </c>
      <c r="Q30" s="32" t="s">
        <v>116</v>
      </c>
      <c r="R30" s="32">
        <v>2016</v>
      </c>
      <c r="S30" s="32">
        <v>2016</v>
      </c>
      <c r="T30" s="32" t="s">
        <v>116</v>
      </c>
      <c r="U30" s="32">
        <v>2017</v>
      </c>
      <c r="V30" s="32">
        <v>2017</v>
      </c>
      <c r="W30" s="32" t="s">
        <v>116</v>
      </c>
      <c r="X30" s="32">
        <v>2018</v>
      </c>
      <c r="Y30" s="32">
        <v>2018</v>
      </c>
      <c r="Z30" s="32" t="s">
        <v>116</v>
      </c>
      <c r="AA30" s="32">
        <v>2019</v>
      </c>
      <c r="AB30" s="32">
        <v>2019</v>
      </c>
      <c r="AC30" s="32" t="s">
        <v>116</v>
      </c>
      <c r="AD30" s="32">
        <v>2020</v>
      </c>
      <c r="AE30" s="32">
        <v>2020</v>
      </c>
      <c r="AF30" s="32" t="s">
        <v>116</v>
      </c>
      <c r="AG30" s="32">
        <v>2021</v>
      </c>
      <c r="AH30" s="32">
        <v>2021</v>
      </c>
      <c r="AI30" s="32" t="s">
        <v>116</v>
      </c>
      <c r="AJ30" s="32">
        <v>2022</v>
      </c>
      <c r="AK30" s="32">
        <v>2022</v>
      </c>
      <c r="AL30" s="32" t="s">
        <v>116</v>
      </c>
      <c r="AM30" s="32">
        <v>2023</v>
      </c>
      <c r="AN30" s="32">
        <v>2023</v>
      </c>
      <c r="AO30" s="32" t="s">
        <v>116</v>
      </c>
      <c r="AP30" s="32">
        <v>2024</v>
      </c>
      <c r="AQ30" s="32">
        <v>2024</v>
      </c>
      <c r="AR30" s="32" t="s">
        <v>116</v>
      </c>
      <c r="AS30" s="32">
        <v>2025</v>
      </c>
      <c r="AT30" s="32">
        <v>2025</v>
      </c>
      <c r="AU30" s="32" t="s">
        <v>116</v>
      </c>
      <c r="AV30" s="32" t="s">
        <v>117</v>
      </c>
      <c r="AW30" s="32" t="s">
        <v>117</v>
      </c>
      <c r="AX30" s="32" t="s">
        <v>117</v>
      </c>
      <c r="AY30" s="32" t="s">
        <v>117</v>
      </c>
      <c r="AZ30" s="32" t="s">
        <v>117</v>
      </c>
      <c r="BA30" s="32" t="s">
        <v>117</v>
      </c>
      <c r="BB30" s="32" t="s">
        <v>117</v>
      </c>
      <c r="BC30" s="32" t="s">
        <v>117</v>
      </c>
      <c r="BD30" s="32" t="s">
        <v>117</v>
      </c>
      <c r="BE30" s="32" t="s">
        <v>117</v>
      </c>
      <c r="BF30" s="32" t="s">
        <v>117</v>
      </c>
      <c r="BG30" s="32" t="s">
        <v>117</v>
      </c>
      <c r="BH30" s="106" t="s">
        <v>117</v>
      </c>
    </row>
    <row r="31" spans="1:60" x14ac:dyDescent="0.15">
      <c r="A31" s="34"/>
      <c r="B31" s="35"/>
      <c r="C31" s="35"/>
      <c r="D31" s="35"/>
      <c r="E31" s="35"/>
      <c r="F31" s="36"/>
      <c r="G31" s="13"/>
      <c r="H31" s="13"/>
      <c r="I31" s="13"/>
      <c r="J31" s="13"/>
      <c r="K31" s="37">
        <v>41639</v>
      </c>
      <c r="L31" s="13"/>
      <c r="M31" s="13"/>
      <c r="N31" s="37">
        <v>42004</v>
      </c>
      <c r="O31" s="13"/>
      <c r="P31" s="13"/>
      <c r="Q31" s="37">
        <v>42369</v>
      </c>
      <c r="R31" s="13"/>
      <c r="S31" s="13"/>
      <c r="T31" s="37">
        <v>42735</v>
      </c>
      <c r="U31" s="13"/>
      <c r="V31" s="13"/>
      <c r="W31" s="37">
        <v>43100</v>
      </c>
      <c r="X31" s="13"/>
      <c r="Y31" s="13"/>
      <c r="Z31" s="37">
        <v>43465</v>
      </c>
      <c r="AA31" s="13"/>
      <c r="AB31" s="13"/>
      <c r="AC31" s="37">
        <v>43830</v>
      </c>
      <c r="AD31" s="13"/>
      <c r="AE31" s="13"/>
      <c r="AF31" s="37">
        <v>44196</v>
      </c>
      <c r="AG31" s="13"/>
      <c r="AH31" s="13"/>
      <c r="AI31" s="37">
        <v>44561</v>
      </c>
      <c r="AJ31" s="13"/>
      <c r="AK31" s="13"/>
      <c r="AL31" s="37">
        <v>44926</v>
      </c>
      <c r="AM31" s="13"/>
      <c r="AN31" s="13"/>
      <c r="AO31" s="37">
        <v>45291</v>
      </c>
      <c r="AP31" s="13"/>
      <c r="AQ31" s="13"/>
      <c r="AR31" s="37">
        <v>45657</v>
      </c>
      <c r="AS31" s="13"/>
      <c r="AT31" s="13"/>
      <c r="AU31" s="37">
        <v>46022</v>
      </c>
      <c r="AV31" s="38">
        <v>41639</v>
      </c>
      <c r="AW31" s="38">
        <v>42004</v>
      </c>
      <c r="AX31" s="38">
        <v>42369</v>
      </c>
      <c r="AY31" s="38">
        <v>42735</v>
      </c>
      <c r="AZ31" s="38">
        <v>43100</v>
      </c>
      <c r="BA31" s="38">
        <v>43465</v>
      </c>
      <c r="BB31" s="38">
        <v>43830</v>
      </c>
      <c r="BC31" s="38">
        <v>44196</v>
      </c>
      <c r="BD31" s="38">
        <v>44561</v>
      </c>
      <c r="BE31" s="38">
        <v>44926</v>
      </c>
      <c r="BF31" s="38">
        <v>45291</v>
      </c>
      <c r="BG31" s="38">
        <v>45657</v>
      </c>
      <c r="BH31" s="107">
        <v>46022</v>
      </c>
    </row>
    <row r="32" spans="1:60" x14ac:dyDescent="0.15">
      <c r="A32" s="39" t="s">
        <v>150</v>
      </c>
      <c r="D32" s="2" t="s">
        <v>151</v>
      </c>
      <c r="E32" s="39" t="s">
        <v>146</v>
      </c>
      <c r="F32" s="40">
        <v>0.25</v>
      </c>
      <c r="G32" s="6">
        <v>3214</v>
      </c>
      <c r="H32" s="6"/>
      <c r="I32" s="6"/>
      <c r="J32" s="6">
        <f t="shared" ref="J32" si="76">+G32+H32+I32</f>
        <v>3214</v>
      </c>
      <c r="K32" s="6">
        <v>3214</v>
      </c>
      <c r="L32" s="6"/>
      <c r="M32" s="6"/>
      <c r="N32" s="6">
        <f t="shared" ref="N32" si="77">+K32+L32+M32</f>
        <v>3214</v>
      </c>
      <c r="O32" s="6"/>
      <c r="P32" s="6"/>
      <c r="Q32" s="6">
        <f t="shared" ref="Q32" si="78">+N32+O32+P32</f>
        <v>3214</v>
      </c>
      <c r="R32" s="6"/>
      <c r="S32" s="6"/>
      <c r="T32" s="6">
        <f t="shared" ref="T32" si="79">+Q32+R32+S32</f>
        <v>3214</v>
      </c>
      <c r="U32" s="6"/>
      <c r="V32" s="6"/>
      <c r="W32" s="6">
        <f t="shared" ref="W32" si="80">+T32+U32+V32</f>
        <v>3214</v>
      </c>
      <c r="X32" s="6"/>
      <c r="Y32" s="6"/>
      <c r="Z32" s="6">
        <f t="shared" ref="Z32" si="81">+W32+X32+Y32</f>
        <v>3214</v>
      </c>
      <c r="AA32" s="6"/>
      <c r="AB32" s="6"/>
      <c r="AC32" s="6">
        <f t="shared" ref="AC32" si="82">+Z32+AA32+AB32</f>
        <v>3214</v>
      </c>
      <c r="AD32" s="6"/>
      <c r="AE32" s="6"/>
      <c r="AF32" s="6">
        <f t="shared" ref="AF32" si="83">+AC32+AD32+AE32</f>
        <v>3214</v>
      </c>
      <c r="AG32" s="6"/>
      <c r="AH32" s="6"/>
      <c r="AI32" s="6">
        <f t="shared" ref="AI32" si="84">+AF32+AG32+AH32</f>
        <v>3214</v>
      </c>
      <c r="AJ32" s="6"/>
      <c r="AK32" s="6"/>
      <c r="AL32" s="6">
        <f t="shared" ref="AL32" si="85">+AI32+AJ32+AK32</f>
        <v>3214</v>
      </c>
      <c r="AM32" s="6"/>
      <c r="AN32" s="6"/>
      <c r="AO32" s="6">
        <f t="shared" ref="AO32" si="86">+AL32+AM32+AN32</f>
        <v>3214</v>
      </c>
      <c r="AP32" s="6"/>
      <c r="AQ32" s="6"/>
      <c r="AR32" s="6">
        <f t="shared" ref="AR32" si="87">+AO32+AP32+AQ32</f>
        <v>3214</v>
      </c>
      <c r="AS32" s="6"/>
      <c r="AT32" s="6"/>
      <c r="AU32" s="6">
        <f t="shared" ref="AU32" si="88">+AR32+AS32+AT32</f>
        <v>3214</v>
      </c>
      <c r="AV32" s="6">
        <f>+J32-K32</f>
        <v>0</v>
      </c>
      <c r="AW32" s="6">
        <f>+J32-N32</f>
        <v>0</v>
      </c>
      <c r="AX32" s="6">
        <f>+J32-Q32</f>
        <v>0</v>
      </c>
      <c r="AY32" s="6">
        <f>+J32-T32</f>
        <v>0</v>
      </c>
      <c r="AZ32" s="6">
        <f>+J32-W32</f>
        <v>0</v>
      </c>
      <c r="BA32" s="6">
        <f>+J32-Z32</f>
        <v>0</v>
      </c>
      <c r="BB32" s="6">
        <f t="shared" ref="BB32" si="89">+J32-AC32</f>
        <v>0</v>
      </c>
      <c r="BC32" s="6">
        <f t="shared" ref="BC32" si="90">+J32-AF32</f>
        <v>0</v>
      </c>
      <c r="BD32" s="6">
        <f t="shared" ref="BD32" si="91">+J32-AI32</f>
        <v>0</v>
      </c>
      <c r="BE32" s="6">
        <f t="shared" ref="BE32" si="92">+J32-AL32</f>
        <v>0</v>
      </c>
      <c r="BF32" s="6">
        <f t="shared" ref="BF32" si="93">+J32-AO32</f>
        <v>0</v>
      </c>
      <c r="BG32" s="6">
        <f t="shared" ref="BG32" si="94">+J32-AR32</f>
        <v>0</v>
      </c>
      <c r="BH32" s="6">
        <f t="shared" ref="BH32" si="95">+$J32-AU32</f>
        <v>0</v>
      </c>
    </row>
    <row r="33" spans="1:60" s="11" customFormat="1" x14ac:dyDescent="0.15">
      <c r="A33" s="41" t="s">
        <v>152</v>
      </c>
      <c r="B33" s="41"/>
      <c r="C33" s="41"/>
      <c r="D33" s="42"/>
      <c r="E33" s="28"/>
      <c r="F33" s="43"/>
      <c r="G33" s="44">
        <f t="shared" ref="G33:AX33" si="96">SUM(G32:G32)</f>
        <v>3214</v>
      </c>
      <c r="H33" s="44">
        <f t="shared" si="96"/>
        <v>0</v>
      </c>
      <c r="I33" s="44">
        <f t="shared" si="96"/>
        <v>0</v>
      </c>
      <c r="J33" s="44">
        <f t="shared" si="96"/>
        <v>3214</v>
      </c>
      <c r="K33" s="44">
        <f t="shared" si="96"/>
        <v>3214</v>
      </c>
      <c r="L33" s="44">
        <f t="shared" si="96"/>
        <v>0</v>
      </c>
      <c r="M33" s="44">
        <f t="shared" si="96"/>
        <v>0</v>
      </c>
      <c r="N33" s="44">
        <f t="shared" si="96"/>
        <v>3214</v>
      </c>
      <c r="O33" s="44">
        <f t="shared" si="96"/>
        <v>0</v>
      </c>
      <c r="P33" s="44">
        <f t="shared" si="96"/>
        <v>0</v>
      </c>
      <c r="Q33" s="44">
        <f t="shared" si="96"/>
        <v>3214</v>
      </c>
      <c r="R33" s="44">
        <f t="shared" si="96"/>
        <v>0</v>
      </c>
      <c r="S33" s="44">
        <f t="shared" si="96"/>
        <v>0</v>
      </c>
      <c r="T33" s="44">
        <f t="shared" si="96"/>
        <v>3214</v>
      </c>
      <c r="U33" s="44">
        <f t="shared" si="96"/>
        <v>0</v>
      </c>
      <c r="V33" s="44">
        <f t="shared" si="96"/>
        <v>0</v>
      </c>
      <c r="W33" s="44">
        <f t="shared" si="96"/>
        <v>3214</v>
      </c>
      <c r="X33" s="44">
        <f t="shared" si="96"/>
        <v>0</v>
      </c>
      <c r="Y33" s="44">
        <f t="shared" si="96"/>
        <v>0</v>
      </c>
      <c r="Z33" s="44">
        <f t="shared" si="96"/>
        <v>3214</v>
      </c>
      <c r="AA33" s="44">
        <f t="shared" si="96"/>
        <v>0</v>
      </c>
      <c r="AB33" s="44">
        <f t="shared" si="96"/>
        <v>0</v>
      </c>
      <c r="AC33" s="44">
        <f t="shared" si="96"/>
        <v>3214</v>
      </c>
      <c r="AD33" s="44">
        <f t="shared" si="96"/>
        <v>0</v>
      </c>
      <c r="AE33" s="44">
        <f t="shared" si="96"/>
        <v>0</v>
      </c>
      <c r="AF33" s="44">
        <f t="shared" si="96"/>
        <v>3214</v>
      </c>
      <c r="AG33" s="44">
        <f t="shared" si="96"/>
        <v>0</v>
      </c>
      <c r="AH33" s="44">
        <f t="shared" si="96"/>
        <v>0</v>
      </c>
      <c r="AI33" s="44">
        <f t="shared" si="96"/>
        <v>3214</v>
      </c>
      <c r="AJ33" s="44">
        <f t="shared" si="96"/>
        <v>0</v>
      </c>
      <c r="AK33" s="44">
        <f t="shared" si="96"/>
        <v>0</v>
      </c>
      <c r="AL33" s="44">
        <f t="shared" si="96"/>
        <v>3214</v>
      </c>
      <c r="AM33" s="44">
        <f t="shared" ref="AM33:AU33" si="97">SUM(AM32:AM32)</f>
        <v>0</v>
      </c>
      <c r="AN33" s="44">
        <f t="shared" si="97"/>
        <v>0</v>
      </c>
      <c r="AO33" s="44">
        <f t="shared" si="97"/>
        <v>3214</v>
      </c>
      <c r="AP33" s="44">
        <f t="shared" si="97"/>
        <v>0</v>
      </c>
      <c r="AQ33" s="44">
        <f t="shared" si="97"/>
        <v>0</v>
      </c>
      <c r="AR33" s="44">
        <f t="shared" si="97"/>
        <v>3214</v>
      </c>
      <c r="AS33" s="44">
        <f t="shared" si="97"/>
        <v>0</v>
      </c>
      <c r="AT33" s="44">
        <f t="shared" si="97"/>
        <v>0</v>
      </c>
      <c r="AU33" s="44">
        <f t="shared" si="97"/>
        <v>3214</v>
      </c>
      <c r="AV33" s="44">
        <f t="shared" si="96"/>
        <v>0</v>
      </c>
      <c r="AW33" s="44">
        <f t="shared" si="96"/>
        <v>0</v>
      </c>
      <c r="AX33" s="44">
        <f t="shared" si="96"/>
        <v>0</v>
      </c>
      <c r="AY33" s="44">
        <f t="shared" ref="AY33:BG33" si="98">SUM(AY32:AY32)</f>
        <v>0</v>
      </c>
      <c r="AZ33" s="44">
        <f t="shared" si="98"/>
        <v>0</v>
      </c>
      <c r="BA33" s="44">
        <f t="shared" si="98"/>
        <v>0</v>
      </c>
      <c r="BB33" s="44">
        <f t="shared" si="98"/>
        <v>0</v>
      </c>
      <c r="BC33" s="44">
        <f t="shared" si="98"/>
        <v>0</v>
      </c>
      <c r="BD33" s="44">
        <f t="shared" si="98"/>
        <v>0</v>
      </c>
      <c r="BE33" s="44">
        <f t="shared" si="98"/>
        <v>0</v>
      </c>
      <c r="BF33" s="44">
        <f t="shared" si="98"/>
        <v>0</v>
      </c>
      <c r="BG33" s="44">
        <f t="shared" si="98"/>
        <v>0</v>
      </c>
      <c r="BH33" s="44">
        <f t="shared" ref="BH33" si="99">SUM(BH32:BH32)</f>
        <v>0</v>
      </c>
    </row>
    <row r="35" spans="1:60" x14ac:dyDescent="0.15">
      <c r="A35" s="27" t="s">
        <v>105</v>
      </c>
      <c r="B35" s="28" t="s">
        <v>243</v>
      </c>
      <c r="C35" s="28" t="s">
        <v>244</v>
      </c>
      <c r="D35" s="28" t="s">
        <v>106</v>
      </c>
      <c r="E35" s="28" t="s">
        <v>107</v>
      </c>
      <c r="F35" s="29" t="s">
        <v>108</v>
      </c>
      <c r="G35" s="28" t="s">
        <v>109</v>
      </c>
      <c r="H35" s="30" t="s">
        <v>110</v>
      </c>
      <c r="I35" s="30" t="s">
        <v>111</v>
      </c>
      <c r="J35" s="28" t="s">
        <v>109</v>
      </c>
      <c r="K35" s="28" t="s">
        <v>112</v>
      </c>
      <c r="L35" s="30" t="s">
        <v>110</v>
      </c>
      <c r="M35" s="30" t="s">
        <v>111</v>
      </c>
      <c r="N35" s="28" t="s">
        <v>112</v>
      </c>
      <c r="O35" s="30" t="s">
        <v>110</v>
      </c>
      <c r="P35" s="30" t="s">
        <v>111</v>
      </c>
      <c r="Q35" s="28" t="s">
        <v>112</v>
      </c>
      <c r="R35" s="30" t="s">
        <v>110</v>
      </c>
      <c r="S35" s="30" t="s">
        <v>111</v>
      </c>
      <c r="T35" s="28" t="s">
        <v>112</v>
      </c>
      <c r="U35" s="30" t="s">
        <v>110</v>
      </c>
      <c r="V35" s="30" t="s">
        <v>111</v>
      </c>
      <c r="W35" s="28" t="s">
        <v>112</v>
      </c>
      <c r="X35" s="30" t="s">
        <v>110</v>
      </c>
      <c r="Y35" s="30" t="s">
        <v>111</v>
      </c>
      <c r="Z35" s="28" t="s">
        <v>112</v>
      </c>
      <c r="AA35" s="30" t="s">
        <v>110</v>
      </c>
      <c r="AB35" s="30" t="s">
        <v>111</v>
      </c>
      <c r="AC35" s="28" t="s">
        <v>112</v>
      </c>
      <c r="AD35" s="30" t="s">
        <v>110</v>
      </c>
      <c r="AE35" s="30" t="s">
        <v>111</v>
      </c>
      <c r="AF35" s="28" t="s">
        <v>112</v>
      </c>
      <c r="AG35" s="30" t="s">
        <v>110</v>
      </c>
      <c r="AH35" s="30" t="s">
        <v>111</v>
      </c>
      <c r="AI35" s="28" t="s">
        <v>112</v>
      </c>
      <c r="AJ35" s="30" t="s">
        <v>110</v>
      </c>
      <c r="AK35" s="30" t="s">
        <v>111</v>
      </c>
      <c r="AL35" s="28" t="s">
        <v>112</v>
      </c>
      <c r="AM35" s="30" t="s">
        <v>110</v>
      </c>
      <c r="AN35" s="30" t="s">
        <v>111</v>
      </c>
      <c r="AO35" s="28" t="s">
        <v>112</v>
      </c>
      <c r="AP35" s="30" t="s">
        <v>110</v>
      </c>
      <c r="AQ35" s="30" t="s">
        <v>111</v>
      </c>
      <c r="AR35" s="28" t="s">
        <v>112</v>
      </c>
      <c r="AS35" s="30" t="s">
        <v>110</v>
      </c>
      <c r="AT35" s="30" t="s">
        <v>111</v>
      </c>
      <c r="AU35" s="28" t="s">
        <v>112</v>
      </c>
      <c r="AV35" s="28" t="s">
        <v>113</v>
      </c>
      <c r="AW35" s="28" t="s">
        <v>113</v>
      </c>
      <c r="AX35" s="28" t="s">
        <v>113</v>
      </c>
      <c r="AY35" s="28" t="s">
        <v>113</v>
      </c>
      <c r="AZ35" s="28" t="s">
        <v>113</v>
      </c>
      <c r="BA35" s="28" t="s">
        <v>113</v>
      </c>
      <c r="BB35" s="28" t="s">
        <v>113</v>
      </c>
      <c r="BC35" s="28" t="s">
        <v>113</v>
      </c>
      <c r="BD35" s="28" t="s">
        <v>113</v>
      </c>
      <c r="BE35" s="28" t="s">
        <v>113</v>
      </c>
      <c r="BF35" s="28" t="s">
        <v>113</v>
      </c>
      <c r="BG35" s="28" t="s">
        <v>113</v>
      </c>
      <c r="BH35" s="105" t="s">
        <v>113</v>
      </c>
    </row>
    <row r="36" spans="1:60" x14ac:dyDescent="0.15">
      <c r="A36" s="31"/>
      <c r="B36" s="32"/>
      <c r="C36" s="32"/>
      <c r="D36" s="32"/>
      <c r="E36" s="32"/>
      <c r="F36" s="33"/>
      <c r="G36" s="32" t="s">
        <v>114</v>
      </c>
      <c r="H36" s="32"/>
      <c r="I36" s="32"/>
      <c r="J36" s="32" t="s">
        <v>115</v>
      </c>
      <c r="K36" s="32" t="s">
        <v>116</v>
      </c>
      <c r="L36" s="32">
        <v>2014</v>
      </c>
      <c r="M36" s="32">
        <v>2014</v>
      </c>
      <c r="N36" s="32" t="s">
        <v>116</v>
      </c>
      <c r="O36" s="32">
        <v>2015</v>
      </c>
      <c r="P36" s="32">
        <v>2015</v>
      </c>
      <c r="Q36" s="32" t="s">
        <v>116</v>
      </c>
      <c r="R36" s="32">
        <v>2016</v>
      </c>
      <c r="S36" s="32">
        <v>2016</v>
      </c>
      <c r="T36" s="32" t="s">
        <v>116</v>
      </c>
      <c r="U36" s="32">
        <v>2017</v>
      </c>
      <c r="V36" s="32">
        <v>2017</v>
      </c>
      <c r="W36" s="32" t="s">
        <v>116</v>
      </c>
      <c r="X36" s="32">
        <v>2018</v>
      </c>
      <c r="Y36" s="32">
        <v>2018</v>
      </c>
      <c r="Z36" s="32" t="s">
        <v>116</v>
      </c>
      <c r="AA36" s="32">
        <v>2019</v>
      </c>
      <c r="AB36" s="32">
        <v>2019</v>
      </c>
      <c r="AC36" s="32" t="s">
        <v>116</v>
      </c>
      <c r="AD36" s="32">
        <v>2020</v>
      </c>
      <c r="AE36" s="32">
        <v>2020</v>
      </c>
      <c r="AF36" s="32" t="s">
        <v>116</v>
      </c>
      <c r="AG36" s="32">
        <v>2021</v>
      </c>
      <c r="AH36" s="32">
        <v>2021</v>
      </c>
      <c r="AI36" s="32" t="s">
        <v>116</v>
      </c>
      <c r="AJ36" s="32">
        <v>2022</v>
      </c>
      <c r="AK36" s="32">
        <v>2022</v>
      </c>
      <c r="AL36" s="32" t="s">
        <v>116</v>
      </c>
      <c r="AM36" s="32">
        <v>2023</v>
      </c>
      <c r="AN36" s="32">
        <v>2023</v>
      </c>
      <c r="AO36" s="32" t="s">
        <v>116</v>
      </c>
      <c r="AP36" s="32">
        <v>2024</v>
      </c>
      <c r="AQ36" s="32">
        <v>2024</v>
      </c>
      <c r="AR36" s="32" t="s">
        <v>116</v>
      </c>
      <c r="AS36" s="32">
        <v>2025</v>
      </c>
      <c r="AT36" s="32">
        <v>2025</v>
      </c>
      <c r="AU36" s="32" t="s">
        <v>116</v>
      </c>
      <c r="AV36" s="32" t="s">
        <v>117</v>
      </c>
      <c r="AW36" s="32" t="s">
        <v>117</v>
      </c>
      <c r="AX36" s="32" t="s">
        <v>117</v>
      </c>
      <c r="AY36" s="32" t="s">
        <v>117</v>
      </c>
      <c r="AZ36" s="32" t="s">
        <v>117</v>
      </c>
      <c r="BA36" s="32" t="s">
        <v>117</v>
      </c>
      <c r="BB36" s="32" t="s">
        <v>117</v>
      </c>
      <c r="BC36" s="32" t="s">
        <v>117</v>
      </c>
      <c r="BD36" s="32" t="s">
        <v>117</v>
      </c>
      <c r="BE36" s="32" t="s">
        <v>117</v>
      </c>
      <c r="BF36" s="32" t="s">
        <v>117</v>
      </c>
      <c r="BG36" s="32" t="s">
        <v>117</v>
      </c>
      <c r="BH36" s="106" t="s">
        <v>117</v>
      </c>
    </row>
    <row r="37" spans="1:60" x14ac:dyDescent="0.15">
      <c r="A37" s="34"/>
      <c r="B37" s="35"/>
      <c r="C37" s="35"/>
      <c r="D37" s="35"/>
      <c r="E37" s="35"/>
      <c r="F37" s="36"/>
      <c r="G37" s="13"/>
      <c r="H37" s="13"/>
      <c r="I37" s="13"/>
      <c r="J37" s="13"/>
      <c r="K37" s="37">
        <v>41639</v>
      </c>
      <c r="L37" s="13"/>
      <c r="M37" s="13"/>
      <c r="N37" s="37">
        <v>42004</v>
      </c>
      <c r="O37" s="13"/>
      <c r="P37" s="13"/>
      <c r="Q37" s="37">
        <v>42369</v>
      </c>
      <c r="R37" s="13"/>
      <c r="S37" s="13"/>
      <c r="T37" s="37">
        <v>42735</v>
      </c>
      <c r="U37" s="13"/>
      <c r="V37" s="13"/>
      <c r="W37" s="37">
        <v>43100</v>
      </c>
      <c r="X37" s="13"/>
      <c r="Y37" s="13"/>
      <c r="Z37" s="37">
        <v>43465</v>
      </c>
      <c r="AA37" s="13"/>
      <c r="AB37" s="13"/>
      <c r="AC37" s="37">
        <v>43830</v>
      </c>
      <c r="AD37" s="13"/>
      <c r="AE37" s="13"/>
      <c r="AF37" s="37">
        <v>44196</v>
      </c>
      <c r="AG37" s="13"/>
      <c r="AH37" s="13"/>
      <c r="AI37" s="37">
        <v>44561</v>
      </c>
      <c r="AJ37" s="13"/>
      <c r="AK37" s="13"/>
      <c r="AL37" s="37">
        <v>44926</v>
      </c>
      <c r="AM37" s="13"/>
      <c r="AN37" s="13"/>
      <c r="AO37" s="37">
        <v>45291</v>
      </c>
      <c r="AP37" s="13"/>
      <c r="AQ37" s="13"/>
      <c r="AR37" s="37">
        <v>45657</v>
      </c>
      <c r="AS37" s="13"/>
      <c r="AT37" s="13"/>
      <c r="AU37" s="37">
        <v>46022</v>
      </c>
      <c r="AV37" s="38">
        <v>41639</v>
      </c>
      <c r="AW37" s="38">
        <v>42004</v>
      </c>
      <c r="AX37" s="38">
        <v>42369</v>
      </c>
      <c r="AY37" s="38">
        <v>42735</v>
      </c>
      <c r="AZ37" s="38">
        <v>43100</v>
      </c>
      <c r="BA37" s="38">
        <v>43465</v>
      </c>
      <c r="BB37" s="38">
        <v>43830</v>
      </c>
      <c r="BC37" s="38">
        <v>44196</v>
      </c>
      <c r="BD37" s="38">
        <v>44561</v>
      </c>
      <c r="BE37" s="38">
        <v>44926</v>
      </c>
      <c r="BF37" s="38">
        <v>45291</v>
      </c>
      <c r="BG37" s="38">
        <v>45657</v>
      </c>
      <c r="BH37" s="107">
        <v>46022</v>
      </c>
    </row>
    <row r="38" spans="1:60" x14ac:dyDescent="0.15">
      <c r="A38" s="39" t="s">
        <v>153</v>
      </c>
      <c r="D38" s="2" t="s">
        <v>154</v>
      </c>
      <c r="E38" s="39" t="s">
        <v>146</v>
      </c>
      <c r="F38" s="40">
        <v>0.1</v>
      </c>
      <c r="G38" s="6">
        <v>9761.01</v>
      </c>
      <c r="H38" s="6"/>
      <c r="I38" s="6"/>
      <c r="J38" s="6">
        <f>+G38+H38+I38</f>
        <v>9761.01</v>
      </c>
      <c r="K38" s="6">
        <f>+H38+I38+J38</f>
        <v>9761.01</v>
      </c>
      <c r="L38" s="6"/>
      <c r="M38" s="6"/>
      <c r="N38" s="6">
        <f>+K38+L38+M38</f>
        <v>9761.01</v>
      </c>
      <c r="O38" s="6"/>
      <c r="P38" s="6"/>
      <c r="Q38" s="6">
        <f>+N38+O38+P38</f>
        <v>9761.01</v>
      </c>
      <c r="R38" s="6"/>
      <c r="S38" s="6"/>
      <c r="T38" s="6">
        <f t="shared" ref="T38:T40" si="100">+Q38+R38+S38</f>
        <v>9761.01</v>
      </c>
      <c r="U38" s="6"/>
      <c r="V38" s="6"/>
      <c r="W38" s="6">
        <f t="shared" ref="W38:W40" si="101">+T38+U38+V38</f>
        <v>9761.01</v>
      </c>
      <c r="X38" s="6"/>
      <c r="Y38" s="6"/>
      <c r="Z38" s="6">
        <f t="shared" ref="Z38:Z41" si="102">+W38+X38+Y38</f>
        <v>9761.01</v>
      </c>
      <c r="AA38" s="6"/>
      <c r="AB38" s="6"/>
      <c r="AC38" s="6">
        <f t="shared" ref="AC38:AC41" si="103">+Z38+AA38+AB38</f>
        <v>9761.01</v>
      </c>
      <c r="AD38" s="6"/>
      <c r="AE38" s="6"/>
      <c r="AF38" s="6">
        <f t="shared" ref="AF38:AF41" si="104">+AC38+AD38+AE38</f>
        <v>9761.01</v>
      </c>
      <c r="AG38" s="6"/>
      <c r="AH38" s="6"/>
      <c r="AI38" s="6">
        <f t="shared" ref="AI38:AI41" si="105">+AF38+AG38+AH38</f>
        <v>9761.01</v>
      </c>
      <c r="AJ38" s="6"/>
      <c r="AK38" s="6"/>
      <c r="AL38" s="6">
        <f t="shared" ref="AL38:AL41" si="106">+AI38+AJ38+AK38</f>
        <v>9761.01</v>
      </c>
      <c r="AM38" s="6"/>
      <c r="AN38" s="6"/>
      <c r="AO38" s="6">
        <f t="shared" ref="AO38:AO41" si="107">+AL38+AM38+AN38</f>
        <v>9761.01</v>
      </c>
      <c r="AP38" s="6"/>
      <c r="AQ38" s="6"/>
      <c r="AR38" s="6">
        <f t="shared" ref="AR38:AR41" si="108">+AO38+AP38+AQ38</f>
        <v>9761.01</v>
      </c>
      <c r="AS38" s="6"/>
      <c r="AT38" s="6"/>
      <c r="AU38" s="6">
        <f t="shared" ref="AU38:AU41" si="109">+AR38+AS38+AT38</f>
        <v>9761.01</v>
      </c>
      <c r="AV38" s="6">
        <f>+J38-K38</f>
        <v>0</v>
      </c>
      <c r="AW38" s="6">
        <f>+J38-N38</f>
        <v>0</v>
      </c>
      <c r="AX38" s="6">
        <f>+J38-Q38</f>
        <v>0</v>
      </c>
      <c r="AY38" s="6">
        <f>+J38-T38</f>
        <v>0</v>
      </c>
      <c r="AZ38" s="6">
        <f>+J38-W38</f>
        <v>0</v>
      </c>
      <c r="BA38" s="6">
        <f>+J38-Z38</f>
        <v>0</v>
      </c>
      <c r="BB38" s="6">
        <f t="shared" ref="BB38:BB41" si="110">+J38-AC38</f>
        <v>0</v>
      </c>
      <c r="BC38" s="6">
        <f t="shared" ref="BC38:BC41" si="111">+J38-AF38</f>
        <v>0</v>
      </c>
      <c r="BD38" s="6">
        <f t="shared" ref="BD38:BD41" si="112">+J38-AI38</f>
        <v>0</v>
      </c>
      <c r="BE38" s="6">
        <f t="shared" ref="BE38:BE41" si="113">+J38-AL38</f>
        <v>0</v>
      </c>
      <c r="BF38" s="6">
        <f t="shared" ref="BF38:BF41" si="114">+J38-AO38</f>
        <v>0</v>
      </c>
      <c r="BG38" s="6">
        <f>+$J38-AR38</f>
        <v>0</v>
      </c>
      <c r="BH38" s="6">
        <f>+$J38-AU38</f>
        <v>0</v>
      </c>
    </row>
    <row r="39" spans="1:60" x14ac:dyDescent="0.15">
      <c r="A39" s="39" t="s">
        <v>153</v>
      </c>
      <c r="D39" s="2" t="s">
        <v>155</v>
      </c>
      <c r="E39" s="39" t="s">
        <v>146</v>
      </c>
      <c r="F39" s="40">
        <v>0.1</v>
      </c>
      <c r="G39" s="6">
        <v>4357.87</v>
      </c>
      <c r="H39" s="6"/>
      <c r="I39" s="6"/>
      <c r="J39" s="6">
        <f t="shared" ref="J39:K41" si="115">+G39+H39+I39</f>
        <v>4357.87</v>
      </c>
      <c r="K39" s="6">
        <f t="shared" si="115"/>
        <v>4357.87</v>
      </c>
      <c r="L39" s="6"/>
      <c r="M39" s="6"/>
      <c r="N39" s="6">
        <f t="shared" ref="N39:N40" si="116">+K39+L39+M39</f>
        <v>4357.87</v>
      </c>
      <c r="O39" s="6"/>
      <c r="P39" s="6"/>
      <c r="Q39" s="6">
        <f t="shared" ref="Q39:Q40" si="117">+N39+O39+P39</f>
        <v>4357.87</v>
      </c>
      <c r="R39" s="6"/>
      <c r="S39" s="6"/>
      <c r="T39" s="6">
        <f t="shared" si="100"/>
        <v>4357.87</v>
      </c>
      <c r="U39" s="6"/>
      <c r="V39" s="6"/>
      <c r="W39" s="6">
        <f t="shared" si="101"/>
        <v>4357.87</v>
      </c>
      <c r="X39" s="6"/>
      <c r="Y39" s="6"/>
      <c r="Z39" s="6">
        <f t="shared" si="102"/>
        <v>4357.87</v>
      </c>
      <c r="AA39" s="6"/>
      <c r="AB39" s="6"/>
      <c r="AC39" s="6">
        <f t="shared" si="103"/>
        <v>4357.87</v>
      </c>
      <c r="AD39" s="6"/>
      <c r="AE39" s="6"/>
      <c r="AF39" s="6">
        <f t="shared" si="104"/>
        <v>4357.87</v>
      </c>
      <c r="AG39" s="6"/>
      <c r="AH39" s="6"/>
      <c r="AI39" s="6">
        <f t="shared" si="105"/>
        <v>4357.87</v>
      </c>
      <c r="AJ39" s="6"/>
      <c r="AK39" s="6"/>
      <c r="AL39" s="6">
        <f t="shared" si="106"/>
        <v>4357.87</v>
      </c>
      <c r="AM39" s="6"/>
      <c r="AN39" s="6"/>
      <c r="AO39" s="6">
        <f t="shared" si="107"/>
        <v>4357.87</v>
      </c>
      <c r="AP39" s="6"/>
      <c r="AQ39" s="6"/>
      <c r="AR39" s="6">
        <f t="shared" si="108"/>
        <v>4357.87</v>
      </c>
      <c r="AS39" s="6"/>
      <c r="AT39" s="6"/>
      <c r="AU39" s="6">
        <f t="shared" si="109"/>
        <v>4357.87</v>
      </c>
      <c r="AV39" s="6">
        <f>+J39-K39</f>
        <v>0</v>
      </c>
      <c r="AW39" s="6">
        <f>+J39-N39</f>
        <v>0</v>
      </c>
      <c r="AX39" s="6">
        <f>+J39-Q39</f>
        <v>0</v>
      </c>
      <c r="AY39" s="6">
        <f>+J39-T39</f>
        <v>0</v>
      </c>
      <c r="AZ39" s="6">
        <f>+J39-W39</f>
        <v>0</v>
      </c>
      <c r="BA39" s="6">
        <f>+J39-Z39</f>
        <v>0</v>
      </c>
      <c r="BB39" s="6">
        <f t="shared" si="110"/>
        <v>0</v>
      </c>
      <c r="BC39" s="6">
        <f t="shared" si="111"/>
        <v>0</v>
      </c>
      <c r="BD39" s="6">
        <f t="shared" si="112"/>
        <v>0</v>
      </c>
      <c r="BE39" s="6">
        <f t="shared" si="113"/>
        <v>0</v>
      </c>
      <c r="BF39" s="6">
        <f t="shared" si="114"/>
        <v>0</v>
      </c>
      <c r="BG39" s="6">
        <f t="shared" ref="BG39:BG41" si="118">+J39-AR39</f>
        <v>0</v>
      </c>
      <c r="BH39" s="6">
        <f t="shared" ref="BH39:BH41" si="119">+$J39-AU39</f>
        <v>0</v>
      </c>
    </row>
    <row r="40" spans="1:60" x14ac:dyDescent="0.15">
      <c r="A40" s="39" t="s">
        <v>126</v>
      </c>
      <c r="D40" s="2" t="s">
        <v>156</v>
      </c>
      <c r="E40" s="39" t="s">
        <v>120</v>
      </c>
      <c r="F40" s="40">
        <v>0.33329999999999999</v>
      </c>
      <c r="G40" s="6">
        <v>9817.2000000000007</v>
      </c>
      <c r="H40" s="6"/>
      <c r="I40" s="6"/>
      <c r="J40" s="6">
        <f t="shared" si="115"/>
        <v>9817.2000000000007</v>
      </c>
      <c r="K40" s="6">
        <f t="shared" si="115"/>
        <v>9817.2000000000007</v>
      </c>
      <c r="L40" s="6"/>
      <c r="M40" s="6"/>
      <c r="N40" s="6">
        <f t="shared" si="116"/>
        <v>9817.2000000000007</v>
      </c>
      <c r="O40" s="6"/>
      <c r="P40" s="6"/>
      <c r="Q40" s="6">
        <f t="shared" si="117"/>
        <v>9817.2000000000007</v>
      </c>
      <c r="R40" s="6"/>
      <c r="S40" s="6"/>
      <c r="T40" s="6">
        <f t="shared" si="100"/>
        <v>9817.2000000000007</v>
      </c>
      <c r="U40" s="6"/>
      <c r="V40" s="6"/>
      <c r="W40" s="6">
        <f t="shared" si="101"/>
        <v>9817.2000000000007</v>
      </c>
      <c r="X40" s="6"/>
      <c r="Y40" s="6"/>
      <c r="Z40" s="6">
        <f t="shared" si="102"/>
        <v>9817.2000000000007</v>
      </c>
      <c r="AA40" s="6"/>
      <c r="AB40" s="6"/>
      <c r="AC40" s="6">
        <f t="shared" si="103"/>
        <v>9817.2000000000007</v>
      </c>
      <c r="AD40" s="6"/>
      <c r="AE40" s="6"/>
      <c r="AF40" s="6">
        <f t="shared" si="104"/>
        <v>9817.2000000000007</v>
      </c>
      <c r="AG40" s="6"/>
      <c r="AH40" s="6"/>
      <c r="AI40" s="6">
        <f t="shared" si="105"/>
        <v>9817.2000000000007</v>
      </c>
      <c r="AJ40" s="6"/>
      <c r="AK40" s="6"/>
      <c r="AL40" s="6">
        <f t="shared" si="106"/>
        <v>9817.2000000000007</v>
      </c>
      <c r="AM40" s="6"/>
      <c r="AN40" s="6"/>
      <c r="AO40" s="6">
        <f t="shared" si="107"/>
        <v>9817.2000000000007</v>
      </c>
      <c r="AP40" s="6"/>
      <c r="AQ40" s="6"/>
      <c r="AR40" s="6">
        <f t="shared" si="108"/>
        <v>9817.2000000000007</v>
      </c>
      <c r="AS40" s="6"/>
      <c r="AT40" s="6"/>
      <c r="AU40" s="6">
        <f t="shared" si="109"/>
        <v>9817.2000000000007</v>
      </c>
      <c r="AV40" s="6">
        <f>+J40-K40</f>
        <v>0</v>
      </c>
      <c r="AW40" s="6">
        <f>+J40-N40</f>
        <v>0</v>
      </c>
      <c r="AX40" s="6">
        <f>+J40-Q40</f>
        <v>0</v>
      </c>
      <c r="AY40" s="6">
        <f>+J40-T40</f>
        <v>0</v>
      </c>
      <c r="AZ40" s="6">
        <f>+J40-W40</f>
        <v>0</v>
      </c>
      <c r="BA40" s="6">
        <f>+J40-Z40</f>
        <v>0</v>
      </c>
      <c r="BB40" s="6">
        <f t="shared" si="110"/>
        <v>0</v>
      </c>
      <c r="BC40" s="6">
        <f t="shared" si="111"/>
        <v>0</v>
      </c>
      <c r="BD40" s="6">
        <f t="shared" si="112"/>
        <v>0</v>
      </c>
      <c r="BE40" s="6">
        <f t="shared" si="113"/>
        <v>0</v>
      </c>
      <c r="BF40" s="6">
        <f t="shared" si="114"/>
        <v>0</v>
      </c>
      <c r="BG40" s="6">
        <f t="shared" si="118"/>
        <v>0</v>
      </c>
      <c r="BH40" s="6">
        <f t="shared" si="119"/>
        <v>0</v>
      </c>
    </row>
    <row r="41" spans="1:60" x14ac:dyDescent="0.15">
      <c r="A41" s="39">
        <v>180</v>
      </c>
      <c r="D41" s="2" t="s">
        <v>157</v>
      </c>
      <c r="E41" s="39" t="s">
        <v>146</v>
      </c>
      <c r="F41" s="40">
        <v>0.2</v>
      </c>
      <c r="G41" s="6">
        <v>2234.0500000000002</v>
      </c>
      <c r="H41" s="6"/>
      <c r="I41" s="6"/>
      <c r="J41" s="6">
        <f t="shared" si="115"/>
        <v>2234.0500000000002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>
        <f>+ROUND(+$J41*$F41,2)</f>
        <v>446.81</v>
      </c>
      <c r="Y41" s="6"/>
      <c r="Z41" s="6">
        <f t="shared" si="102"/>
        <v>446.81</v>
      </c>
      <c r="AA41" s="6">
        <f>+ROUND(+$J41*$F41,2)</f>
        <v>446.81</v>
      </c>
      <c r="AB41" s="6"/>
      <c r="AC41" s="6">
        <f t="shared" si="103"/>
        <v>893.62</v>
      </c>
      <c r="AD41" s="6">
        <f>+ROUND(+$J41*$F41,2)</f>
        <v>446.81</v>
      </c>
      <c r="AE41" s="6"/>
      <c r="AF41" s="6">
        <f t="shared" si="104"/>
        <v>1340.43</v>
      </c>
      <c r="AG41" s="6">
        <f>+ROUND(+$J41*$F41,2)</f>
        <v>446.81</v>
      </c>
      <c r="AH41" s="6"/>
      <c r="AI41" s="6">
        <f t="shared" si="105"/>
        <v>1787.24</v>
      </c>
      <c r="AJ41" s="6">
        <f>+ROUND(+$J41*$F41,2)</f>
        <v>446.81</v>
      </c>
      <c r="AK41" s="6"/>
      <c r="AL41" s="6">
        <f t="shared" si="106"/>
        <v>2234.0500000000002</v>
      </c>
      <c r="AM41" s="6"/>
      <c r="AN41" s="6"/>
      <c r="AO41" s="6">
        <f t="shared" si="107"/>
        <v>2234.0500000000002</v>
      </c>
      <c r="AP41" s="6"/>
      <c r="AQ41" s="6"/>
      <c r="AR41" s="6">
        <f t="shared" si="108"/>
        <v>2234.0500000000002</v>
      </c>
      <c r="AS41" s="6"/>
      <c r="AT41" s="6"/>
      <c r="AU41" s="6">
        <f t="shared" si="109"/>
        <v>2234.0500000000002</v>
      </c>
      <c r="AV41" s="6"/>
      <c r="AW41" s="6"/>
      <c r="AX41" s="6"/>
      <c r="AY41" s="6"/>
      <c r="AZ41" s="6"/>
      <c r="BA41" s="6">
        <f>+J41-Z41</f>
        <v>1787.2400000000002</v>
      </c>
      <c r="BB41" s="6">
        <f t="shared" si="110"/>
        <v>1340.4300000000003</v>
      </c>
      <c r="BC41" s="6">
        <f t="shared" si="111"/>
        <v>893.62000000000012</v>
      </c>
      <c r="BD41" s="6">
        <f t="shared" si="112"/>
        <v>446.81000000000017</v>
      </c>
      <c r="BE41" s="6">
        <f t="shared" si="113"/>
        <v>0</v>
      </c>
      <c r="BF41" s="6">
        <f t="shared" si="114"/>
        <v>0</v>
      </c>
      <c r="BG41" s="6">
        <f t="shared" si="118"/>
        <v>0</v>
      </c>
      <c r="BH41" s="6">
        <f t="shared" si="119"/>
        <v>0</v>
      </c>
    </row>
    <row r="42" spans="1:60" s="11" customFormat="1" x14ac:dyDescent="0.15">
      <c r="A42" s="41" t="s">
        <v>158</v>
      </c>
      <c r="B42" s="41"/>
      <c r="C42" s="41"/>
      <c r="D42" s="42"/>
      <c r="E42" s="28"/>
      <c r="F42" s="43"/>
      <c r="G42" s="44">
        <f t="shared" ref="G42:BF42" si="120">SUM(G38:G41)</f>
        <v>26170.13</v>
      </c>
      <c r="H42" s="44">
        <f t="shared" si="120"/>
        <v>0</v>
      </c>
      <c r="I42" s="44">
        <f t="shared" si="120"/>
        <v>0</v>
      </c>
      <c r="J42" s="44">
        <f t="shared" si="120"/>
        <v>26170.13</v>
      </c>
      <c r="K42" s="44">
        <f t="shared" si="120"/>
        <v>23936.080000000002</v>
      </c>
      <c r="L42" s="44">
        <f t="shared" si="120"/>
        <v>0</v>
      </c>
      <c r="M42" s="44">
        <f t="shared" si="120"/>
        <v>0</v>
      </c>
      <c r="N42" s="44">
        <f t="shared" si="120"/>
        <v>23936.080000000002</v>
      </c>
      <c r="O42" s="44">
        <f t="shared" si="120"/>
        <v>0</v>
      </c>
      <c r="P42" s="44">
        <f t="shared" si="120"/>
        <v>0</v>
      </c>
      <c r="Q42" s="44">
        <f t="shared" si="120"/>
        <v>23936.080000000002</v>
      </c>
      <c r="R42" s="44">
        <f t="shared" si="120"/>
        <v>0</v>
      </c>
      <c r="S42" s="44">
        <f t="shared" si="120"/>
        <v>0</v>
      </c>
      <c r="T42" s="44">
        <f t="shared" si="120"/>
        <v>23936.080000000002</v>
      </c>
      <c r="U42" s="44">
        <f t="shared" si="120"/>
        <v>0</v>
      </c>
      <c r="V42" s="44">
        <f t="shared" si="120"/>
        <v>0</v>
      </c>
      <c r="W42" s="44">
        <f t="shared" si="120"/>
        <v>23936.080000000002</v>
      </c>
      <c r="X42" s="44">
        <f t="shared" si="120"/>
        <v>446.81</v>
      </c>
      <c r="Y42" s="44">
        <f t="shared" si="120"/>
        <v>0</v>
      </c>
      <c r="Z42" s="44">
        <f t="shared" si="120"/>
        <v>24382.890000000003</v>
      </c>
      <c r="AA42" s="44">
        <f t="shared" si="120"/>
        <v>446.81</v>
      </c>
      <c r="AB42" s="44">
        <f t="shared" si="120"/>
        <v>0</v>
      </c>
      <c r="AC42" s="44">
        <f t="shared" si="120"/>
        <v>24829.7</v>
      </c>
      <c r="AD42" s="44">
        <f t="shared" si="120"/>
        <v>446.81</v>
      </c>
      <c r="AE42" s="44">
        <f t="shared" si="120"/>
        <v>0</v>
      </c>
      <c r="AF42" s="44">
        <f t="shared" si="120"/>
        <v>25276.510000000002</v>
      </c>
      <c r="AG42" s="44">
        <f t="shared" si="120"/>
        <v>446.81</v>
      </c>
      <c r="AH42" s="44">
        <f t="shared" si="120"/>
        <v>0</v>
      </c>
      <c r="AI42" s="44">
        <f t="shared" si="120"/>
        <v>25723.320000000003</v>
      </c>
      <c r="AJ42" s="44">
        <f t="shared" si="120"/>
        <v>446.81</v>
      </c>
      <c r="AK42" s="44">
        <f t="shared" si="120"/>
        <v>0</v>
      </c>
      <c r="AL42" s="44">
        <f t="shared" si="120"/>
        <v>26170.13</v>
      </c>
      <c r="AM42" s="44">
        <f t="shared" si="120"/>
        <v>0</v>
      </c>
      <c r="AN42" s="44">
        <f t="shared" si="120"/>
        <v>0</v>
      </c>
      <c r="AO42" s="44">
        <f t="shared" si="120"/>
        <v>26170.13</v>
      </c>
      <c r="AP42" s="44">
        <f t="shared" ref="AP42:AT42" si="121">SUM(AP38:AP41)</f>
        <v>0</v>
      </c>
      <c r="AQ42" s="44">
        <f t="shared" si="121"/>
        <v>0</v>
      </c>
      <c r="AR42" s="44">
        <f t="shared" si="121"/>
        <v>26170.13</v>
      </c>
      <c r="AS42" s="44">
        <f t="shared" si="121"/>
        <v>0</v>
      </c>
      <c r="AT42" s="44">
        <f t="shared" si="121"/>
        <v>0</v>
      </c>
      <c r="AU42" s="44">
        <f t="shared" ref="AU42" si="122">SUM(AU38:AU41)</f>
        <v>26170.13</v>
      </c>
      <c r="AV42" s="44">
        <f t="shared" si="120"/>
        <v>0</v>
      </c>
      <c r="AW42" s="44">
        <f t="shared" si="120"/>
        <v>0</v>
      </c>
      <c r="AX42" s="44">
        <f t="shared" si="120"/>
        <v>0</v>
      </c>
      <c r="AY42" s="44">
        <f t="shared" si="120"/>
        <v>0</v>
      </c>
      <c r="AZ42" s="44">
        <f t="shared" si="120"/>
        <v>0</v>
      </c>
      <c r="BA42" s="44">
        <f t="shared" si="120"/>
        <v>1787.2400000000002</v>
      </c>
      <c r="BB42" s="44">
        <f t="shared" si="120"/>
        <v>1340.4300000000003</v>
      </c>
      <c r="BC42" s="44">
        <f t="shared" si="120"/>
        <v>893.62000000000012</v>
      </c>
      <c r="BD42" s="44">
        <f t="shared" si="120"/>
        <v>446.81000000000017</v>
      </c>
      <c r="BE42" s="44">
        <f t="shared" si="120"/>
        <v>0</v>
      </c>
      <c r="BF42" s="44">
        <f t="shared" si="120"/>
        <v>0</v>
      </c>
      <c r="BG42" s="44">
        <f t="shared" ref="BG42:BH42" si="123">SUM(BG38:BG41)</f>
        <v>0</v>
      </c>
      <c r="BH42" s="44">
        <f t="shared" si="123"/>
        <v>0</v>
      </c>
    </row>
    <row r="44" spans="1:60" x14ac:dyDescent="0.15">
      <c r="A44" s="27" t="s">
        <v>105</v>
      </c>
      <c r="B44" s="28" t="s">
        <v>243</v>
      </c>
      <c r="C44" s="28" t="s">
        <v>244</v>
      </c>
      <c r="D44" s="28" t="s">
        <v>106</v>
      </c>
      <c r="E44" s="28" t="s">
        <v>107</v>
      </c>
      <c r="F44" s="29" t="s">
        <v>108</v>
      </c>
      <c r="G44" s="28" t="s">
        <v>109</v>
      </c>
      <c r="H44" s="30" t="s">
        <v>110</v>
      </c>
      <c r="I44" s="30" t="s">
        <v>111</v>
      </c>
      <c r="J44" s="28" t="s">
        <v>109</v>
      </c>
      <c r="K44" s="28" t="s">
        <v>112</v>
      </c>
      <c r="L44" s="30" t="s">
        <v>110</v>
      </c>
      <c r="M44" s="30" t="s">
        <v>111</v>
      </c>
      <c r="N44" s="28" t="s">
        <v>112</v>
      </c>
      <c r="O44" s="30" t="s">
        <v>110</v>
      </c>
      <c r="P44" s="30" t="s">
        <v>111</v>
      </c>
      <c r="Q44" s="28" t="s">
        <v>112</v>
      </c>
      <c r="R44" s="30" t="s">
        <v>110</v>
      </c>
      <c r="S44" s="30" t="s">
        <v>111</v>
      </c>
      <c r="T44" s="28" t="s">
        <v>112</v>
      </c>
      <c r="U44" s="30" t="s">
        <v>110</v>
      </c>
      <c r="V44" s="30" t="s">
        <v>111</v>
      </c>
      <c r="W44" s="28" t="s">
        <v>112</v>
      </c>
      <c r="X44" s="30" t="s">
        <v>110</v>
      </c>
      <c r="Y44" s="30" t="s">
        <v>111</v>
      </c>
      <c r="Z44" s="28" t="s">
        <v>112</v>
      </c>
      <c r="AA44" s="30" t="s">
        <v>110</v>
      </c>
      <c r="AB44" s="30" t="s">
        <v>111</v>
      </c>
      <c r="AC44" s="28" t="s">
        <v>112</v>
      </c>
      <c r="AD44" s="30" t="s">
        <v>110</v>
      </c>
      <c r="AE44" s="30" t="s">
        <v>111</v>
      </c>
      <c r="AF44" s="28" t="s">
        <v>112</v>
      </c>
      <c r="AG44" s="30" t="s">
        <v>110</v>
      </c>
      <c r="AH44" s="30" t="s">
        <v>111</v>
      </c>
      <c r="AI44" s="28" t="s">
        <v>112</v>
      </c>
      <c r="AJ44" s="30" t="s">
        <v>110</v>
      </c>
      <c r="AK44" s="30" t="s">
        <v>111</v>
      </c>
      <c r="AL44" s="28" t="s">
        <v>112</v>
      </c>
      <c r="AM44" s="30" t="s">
        <v>110</v>
      </c>
      <c r="AN44" s="30" t="s">
        <v>111</v>
      </c>
      <c r="AO44" s="28" t="s">
        <v>112</v>
      </c>
      <c r="AP44" s="30" t="s">
        <v>110</v>
      </c>
      <c r="AQ44" s="30" t="s">
        <v>111</v>
      </c>
      <c r="AR44" s="28" t="s">
        <v>112</v>
      </c>
      <c r="AS44" s="30" t="s">
        <v>110</v>
      </c>
      <c r="AT44" s="30" t="s">
        <v>111</v>
      </c>
      <c r="AU44" s="28" t="s">
        <v>112</v>
      </c>
      <c r="AV44" s="28" t="s">
        <v>113</v>
      </c>
      <c r="AW44" s="28" t="s">
        <v>113</v>
      </c>
      <c r="AX44" s="28" t="s">
        <v>113</v>
      </c>
      <c r="AY44" s="28" t="s">
        <v>113</v>
      </c>
      <c r="AZ44" s="28" t="s">
        <v>113</v>
      </c>
      <c r="BA44" s="28" t="s">
        <v>113</v>
      </c>
      <c r="BB44" s="28" t="s">
        <v>113</v>
      </c>
      <c r="BC44" s="28" t="s">
        <v>113</v>
      </c>
      <c r="BD44" s="28" t="s">
        <v>113</v>
      </c>
      <c r="BE44" s="28" t="s">
        <v>113</v>
      </c>
      <c r="BF44" s="28" t="s">
        <v>113</v>
      </c>
      <c r="BG44" s="28" t="s">
        <v>113</v>
      </c>
      <c r="BH44" s="105" t="s">
        <v>113</v>
      </c>
    </row>
    <row r="45" spans="1:60" x14ac:dyDescent="0.15">
      <c r="A45" s="31"/>
      <c r="B45" s="32"/>
      <c r="C45" s="32"/>
      <c r="D45" s="32"/>
      <c r="E45" s="32"/>
      <c r="F45" s="33"/>
      <c r="G45" s="32" t="s">
        <v>114</v>
      </c>
      <c r="H45" s="32"/>
      <c r="I45" s="32"/>
      <c r="J45" s="32" t="s">
        <v>115</v>
      </c>
      <c r="K45" s="32" t="s">
        <v>116</v>
      </c>
      <c r="L45" s="32">
        <v>2014</v>
      </c>
      <c r="M45" s="32">
        <v>2014</v>
      </c>
      <c r="N45" s="32" t="s">
        <v>116</v>
      </c>
      <c r="O45" s="32">
        <v>2015</v>
      </c>
      <c r="P45" s="32">
        <v>2015</v>
      </c>
      <c r="Q45" s="32" t="s">
        <v>116</v>
      </c>
      <c r="R45" s="32">
        <v>2016</v>
      </c>
      <c r="S45" s="32">
        <v>2016</v>
      </c>
      <c r="T45" s="32" t="s">
        <v>116</v>
      </c>
      <c r="U45" s="32">
        <v>2017</v>
      </c>
      <c r="V45" s="32">
        <v>2017</v>
      </c>
      <c r="W45" s="32" t="s">
        <v>116</v>
      </c>
      <c r="X45" s="32">
        <v>2018</v>
      </c>
      <c r="Y45" s="32">
        <v>2018</v>
      </c>
      <c r="Z45" s="32" t="s">
        <v>116</v>
      </c>
      <c r="AA45" s="32">
        <v>2019</v>
      </c>
      <c r="AB45" s="32">
        <v>2019</v>
      </c>
      <c r="AC45" s="32" t="s">
        <v>116</v>
      </c>
      <c r="AD45" s="32">
        <v>2020</v>
      </c>
      <c r="AE45" s="32">
        <v>2020</v>
      </c>
      <c r="AF45" s="32" t="s">
        <v>116</v>
      </c>
      <c r="AG45" s="32">
        <v>2021</v>
      </c>
      <c r="AH45" s="32">
        <v>2021</v>
      </c>
      <c r="AI45" s="32" t="s">
        <v>116</v>
      </c>
      <c r="AJ45" s="32">
        <v>2022</v>
      </c>
      <c r="AK45" s="32">
        <v>2022</v>
      </c>
      <c r="AL45" s="32" t="s">
        <v>116</v>
      </c>
      <c r="AM45" s="32">
        <v>2023</v>
      </c>
      <c r="AN45" s="32">
        <v>2023</v>
      </c>
      <c r="AO45" s="32" t="s">
        <v>116</v>
      </c>
      <c r="AP45" s="32">
        <v>2024</v>
      </c>
      <c r="AQ45" s="32">
        <v>2024</v>
      </c>
      <c r="AR45" s="32" t="s">
        <v>116</v>
      </c>
      <c r="AS45" s="32">
        <v>2025</v>
      </c>
      <c r="AT45" s="32">
        <v>2025</v>
      </c>
      <c r="AU45" s="32" t="s">
        <v>116</v>
      </c>
      <c r="AV45" s="32" t="s">
        <v>117</v>
      </c>
      <c r="AW45" s="32" t="s">
        <v>117</v>
      </c>
      <c r="AX45" s="32" t="s">
        <v>117</v>
      </c>
      <c r="AY45" s="32" t="s">
        <v>117</v>
      </c>
      <c r="AZ45" s="32" t="s">
        <v>117</v>
      </c>
      <c r="BA45" s="32" t="s">
        <v>117</v>
      </c>
      <c r="BB45" s="32" t="s">
        <v>117</v>
      </c>
      <c r="BC45" s="32" t="s">
        <v>117</v>
      </c>
      <c r="BD45" s="32" t="s">
        <v>117</v>
      </c>
      <c r="BE45" s="32" t="s">
        <v>117</v>
      </c>
      <c r="BF45" s="32" t="s">
        <v>117</v>
      </c>
      <c r="BG45" s="32" t="s">
        <v>117</v>
      </c>
      <c r="BH45" s="106" t="s">
        <v>117</v>
      </c>
    </row>
    <row r="46" spans="1:60" x14ac:dyDescent="0.15">
      <c r="A46" s="34"/>
      <c r="B46" s="35"/>
      <c r="C46" s="35"/>
      <c r="D46" s="35"/>
      <c r="E46" s="35"/>
      <c r="F46" s="36"/>
      <c r="G46" s="13"/>
      <c r="H46" s="13"/>
      <c r="I46" s="13"/>
      <c r="J46" s="13"/>
      <c r="K46" s="37">
        <v>41639</v>
      </c>
      <c r="L46" s="13"/>
      <c r="M46" s="13"/>
      <c r="N46" s="37">
        <v>42004</v>
      </c>
      <c r="O46" s="13"/>
      <c r="P46" s="13"/>
      <c r="Q46" s="37">
        <v>42369</v>
      </c>
      <c r="R46" s="13"/>
      <c r="S46" s="13"/>
      <c r="T46" s="37">
        <v>42735</v>
      </c>
      <c r="U46" s="13"/>
      <c r="V46" s="13"/>
      <c r="W46" s="37">
        <v>43100</v>
      </c>
      <c r="X46" s="13"/>
      <c r="Y46" s="13"/>
      <c r="Z46" s="37">
        <v>43465</v>
      </c>
      <c r="AA46" s="13"/>
      <c r="AB46" s="13"/>
      <c r="AC46" s="37">
        <v>43830</v>
      </c>
      <c r="AD46" s="13"/>
      <c r="AE46" s="13"/>
      <c r="AF46" s="37">
        <v>44196</v>
      </c>
      <c r="AG46" s="13"/>
      <c r="AH46" s="13"/>
      <c r="AI46" s="37">
        <v>44561</v>
      </c>
      <c r="AJ46" s="13"/>
      <c r="AK46" s="13"/>
      <c r="AL46" s="37">
        <v>44926</v>
      </c>
      <c r="AM46" s="13"/>
      <c r="AN46" s="13"/>
      <c r="AO46" s="37">
        <v>45291</v>
      </c>
      <c r="AP46" s="13"/>
      <c r="AQ46" s="13"/>
      <c r="AR46" s="37">
        <v>45657</v>
      </c>
      <c r="AS46" s="13"/>
      <c r="AT46" s="13"/>
      <c r="AU46" s="37">
        <v>46022</v>
      </c>
      <c r="AV46" s="38">
        <v>41639</v>
      </c>
      <c r="AW46" s="38">
        <v>42004</v>
      </c>
      <c r="AX46" s="38">
        <v>42369</v>
      </c>
      <c r="AY46" s="38">
        <v>42735</v>
      </c>
      <c r="AZ46" s="38">
        <v>43100</v>
      </c>
      <c r="BA46" s="38">
        <v>43465</v>
      </c>
      <c r="BB46" s="38">
        <v>43830</v>
      </c>
      <c r="BC46" s="38">
        <v>44196</v>
      </c>
      <c r="BD46" s="38">
        <v>44561</v>
      </c>
      <c r="BE46" s="38">
        <v>44926</v>
      </c>
      <c r="BF46" s="38">
        <v>45291</v>
      </c>
      <c r="BG46" s="38">
        <v>45657</v>
      </c>
      <c r="BH46" s="107">
        <v>46022</v>
      </c>
    </row>
    <row r="47" spans="1:60" x14ac:dyDescent="0.15">
      <c r="A47" s="39" t="s">
        <v>153</v>
      </c>
      <c r="D47" s="2" t="s">
        <v>159</v>
      </c>
      <c r="E47" s="39" t="s">
        <v>146</v>
      </c>
      <c r="F47" s="40">
        <v>0.2</v>
      </c>
      <c r="G47" s="6">
        <v>1171.79</v>
      </c>
      <c r="H47" s="6"/>
      <c r="I47" s="6"/>
      <c r="J47" s="6">
        <f>+G47+H47+I47</f>
        <v>1171.79</v>
      </c>
      <c r="K47" s="6">
        <v>1171.79</v>
      </c>
      <c r="L47" s="6"/>
      <c r="M47" s="6"/>
      <c r="N47" s="6">
        <f>+K47+L47+M47</f>
        <v>1171.79</v>
      </c>
      <c r="O47" s="6"/>
      <c r="P47" s="6"/>
      <c r="Q47" s="6">
        <f>+N47+O47+P47</f>
        <v>1171.79</v>
      </c>
      <c r="R47" s="6"/>
      <c r="S47" s="6"/>
      <c r="T47" s="6">
        <f t="shared" ref="T47:T52" si="124">+Q47+R47+S47</f>
        <v>1171.79</v>
      </c>
      <c r="U47" s="6"/>
      <c r="V47" s="6"/>
      <c r="W47" s="6">
        <f t="shared" ref="W47:W52" si="125">+T47+U47+V47</f>
        <v>1171.79</v>
      </c>
      <c r="X47" s="6"/>
      <c r="Y47" s="6"/>
      <c r="Z47" s="6">
        <f t="shared" ref="Z47:Z53" si="126">+W47+X47+Y47</f>
        <v>1171.79</v>
      </c>
      <c r="AA47" s="6"/>
      <c r="AB47" s="6"/>
      <c r="AC47" s="6">
        <f t="shared" ref="AC47:AC53" si="127">+Z47+AA47+AB47</f>
        <v>1171.79</v>
      </c>
      <c r="AD47" s="6"/>
      <c r="AE47" s="6"/>
      <c r="AF47" s="6">
        <f t="shared" ref="AF47:AF53" si="128">+AC47+AD47+AE47</f>
        <v>1171.79</v>
      </c>
      <c r="AG47" s="6"/>
      <c r="AH47" s="6"/>
      <c r="AI47" s="6">
        <f t="shared" ref="AI47:AI53" si="129">+AF47+AG47+AH47</f>
        <v>1171.79</v>
      </c>
      <c r="AJ47" s="6"/>
      <c r="AK47" s="6"/>
      <c r="AL47" s="6">
        <f t="shared" ref="AL47:AL53" si="130">+AI47+AJ47+AK47</f>
        <v>1171.79</v>
      </c>
      <c r="AM47" s="6"/>
      <c r="AN47" s="6"/>
      <c r="AO47" s="6">
        <f t="shared" ref="AO47:AO53" si="131">+AL47+AM47+AN47</f>
        <v>1171.79</v>
      </c>
      <c r="AP47" s="6"/>
      <c r="AQ47" s="6"/>
      <c r="AR47" s="6">
        <f t="shared" ref="AR47:AR53" si="132">+AO47+AP47+AQ47</f>
        <v>1171.79</v>
      </c>
      <c r="AS47" s="6"/>
      <c r="AT47" s="6"/>
      <c r="AU47" s="6">
        <f t="shared" ref="AU47:AU53" si="133">+AR47+AS47+AT47</f>
        <v>1171.79</v>
      </c>
      <c r="AV47" s="6">
        <f t="shared" ref="AV47:AV52" si="134">+J47-K47</f>
        <v>0</v>
      </c>
      <c r="AW47" s="6">
        <f t="shared" ref="AW47:AW52" si="135">+J47-N47</f>
        <v>0</v>
      </c>
      <c r="AX47" s="6">
        <f t="shared" ref="AX47:AX52" si="136">+J47-Q47</f>
        <v>0</v>
      </c>
      <c r="AY47" s="6">
        <f t="shared" ref="AY47:AY52" si="137">+J47-T47</f>
        <v>0</v>
      </c>
      <c r="AZ47" s="6">
        <f t="shared" ref="AZ47:AZ52" si="138">+J47-W47</f>
        <v>0</v>
      </c>
      <c r="BA47" s="6">
        <f t="shared" ref="BA47:BA53" si="139">+J47-Z47</f>
        <v>0</v>
      </c>
      <c r="BB47" s="6">
        <f t="shared" ref="BB47:BB53" si="140">+J47-AC47</f>
        <v>0</v>
      </c>
      <c r="BC47" s="6">
        <f t="shared" ref="BC47:BC53" si="141">+J47-AF47</f>
        <v>0</v>
      </c>
      <c r="BD47" s="6">
        <f t="shared" ref="BD47:BD53" si="142">+J47-AI47</f>
        <v>0</v>
      </c>
      <c r="BE47" s="6">
        <f t="shared" ref="BE47:BE53" si="143">+J47-AL47</f>
        <v>0</v>
      </c>
      <c r="BF47" s="6">
        <f t="shared" ref="BF47:BF53" si="144">+J47-AO47</f>
        <v>0</v>
      </c>
      <c r="BG47" s="6">
        <f t="shared" ref="BG47:BG53" si="145">+J47-AR47</f>
        <v>0</v>
      </c>
      <c r="BH47" s="6">
        <f t="shared" ref="BH47:BH53" si="146">+$J47-AU47</f>
        <v>0</v>
      </c>
    </row>
    <row r="48" spans="1:60" x14ac:dyDescent="0.15">
      <c r="A48" s="39" t="s">
        <v>160</v>
      </c>
      <c r="D48" s="2" t="s">
        <v>161</v>
      </c>
      <c r="E48" s="39" t="s">
        <v>146</v>
      </c>
      <c r="F48" s="40">
        <v>0.2</v>
      </c>
      <c r="G48" s="6">
        <v>5577.59</v>
      </c>
      <c r="H48" s="6"/>
      <c r="I48" s="6"/>
      <c r="J48" s="6">
        <f t="shared" ref="J48:J53" si="147">+G48+H48+I48</f>
        <v>5577.59</v>
      </c>
      <c r="K48" s="6">
        <v>5577.59</v>
      </c>
      <c r="L48" s="6"/>
      <c r="M48" s="6"/>
      <c r="N48" s="6">
        <f t="shared" ref="N48:N52" si="148">+K48+L48+M48</f>
        <v>5577.59</v>
      </c>
      <c r="O48" s="6"/>
      <c r="P48" s="6"/>
      <c r="Q48" s="6">
        <f t="shared" ref="Q48:Q50" si="149">+N48+O48+P48</f>
        <v>5577.59</v>
      </c>
      <c r="R48" s="6"/>
      <c r="S48" s="6"/>
      <c r="T48" s="6">
        <f t="shared" si="124"/>
        <v>5577.59</v>
      </c>
      <c r="U48" s="6"/>
      <c r="V48" s="6"/>
      <c r="W48" s="6">
        <f t="shared" si="125"/>
        <v>5577.59</v>
      </c>
      <c r="X48" s="6"/>
      <c r="Y48" s="6"/>
      <c r="Z48" s="6">
        <f t="shared" si="126"/>
        <v>5577.59</v>
      </c>
      <c r="AA48" s="6"/>
      <c r="AB48" s="6"/>
      <c r="AC48" s="6">
        <f t="shared" si="127"/>
        <v>5577.59</v>
      </c>
      <c r="AD48" s="6"/>
      <c r="AE48" s="6"/>
      <c r="AF48" s="6">
        <f t="shared" si="128"/>
        <v>5577.59</v>
      </c>
      <c r="AG48" s="6"/>
      <c r="AH48" s="6"/>
      <c r="AI48" s="6">
        <f t="shared" si="129"/>
        <v>5577.59</v>
      </c>
      <c r="AJ48" s="6"/>
      <c r="AK48" s="6"/>
      <c r="AL48" s="6">
        <f t="shared" si="130"/>
        <v>5577.59</v>
      </c>
      <c r="AM48" s="6"/>
      <c r="AN48" s="6"/>
      <c r="AO48" s="6">
        <f t="shared" si="131"/>
        <v>5577.59</v>
      </c>
      <c r="AP48" s="6"/>
      <c r="AQ48" s="6"/>
      <c r="AR48" s="6">
        <f t="shared" si="132"/>
        <v>5577.59</v>
      </c>
      <c r="AS48" s="6"/>
      <c r="AT48" s="6"/>
      <c r="AU48" s="6">
        <f t="shared" si="133"/>
        <v>5577.59</v>
      </c>
      <c r="AV48" s="6">
        <f t="shared" si="134"/>
        <v>0</v>
      </c>
      <c r="AW48" s="6">
        <f t="shared" si="135"/>
        <v>0</v>
      </c>
      <c r="AX48" s="6">
        <f t="shared" si="136"/>
        <v>0</v>
      </c>
      <c r="AY48" s="6">
        <f t="shared" si="137"/>
        <v>0</v>
      </c>
      <c r="AZ48" s="6">
        <f t="shared" si="138"/>
        <v>0</v>
      </c>
      <c r="BA48" s="6">
        <f t="shared" si="139"/>
        <v>0</v>
      </c>
      <c r="BB48" s="6">
        <f t="shared" si="140"/>
        <v>0</v>
      </c>
      <c r="BC48" s="6">
        <f t="shared" si="141"/>
        <v>0</v>
      </c>
      <c r="BD48" s="6">
        <f t="shared" si="142"/>
        <v>0</v>
      </c>
      <c r="BE48" s="6">
        <f t="shared" si="143"/>
        <v>0</v>
      </c>
      <c r="BF48" s="6">
        <f t="shared" si="144"/>
        <v>0</v>
      </c>
      <c r="BG48" s="6">
        <f t="shared" si="145"/>
        <v>0</v>
      </c>
      <c r="BH48" s="6">
        <f t="shared" si="146"/>
        <v>0</v>
      </c>
    </row>
    <row r="49" spans="1:60" x14ac:dyDescent="0.15">
      <c r="A49" s="39" t="s">
        <v>130</v>
      </c>
      <c r="D49" s="2" t="s">
        <v>162</v>
      </c>
      <c r="E49" s="39" t="s">
        <v>146</v>
      </c>
      <c r="F49" s="40">
        <v>0.2</v>
      </c>
      <c r="G49" s="6">
        <v>1127</v>
      </c>
      <c r="H49" s="6"/>
      <c r="I49" s="6"/>
      <c r="J49" s="6">
        <f t="shared" si="147"/>
        <v>1127</v>
      </c>
      <c r="K49" s="6">
        <v>1127</v>
      </c>
      <c r="L49" s="6"/>
      <c r="M49" s="6"/>
      <c r="N49" s="6">
        <f t="shared" si="148"/>
        <v>1127</v>
      </c>
      <c r="O49" s="6"/>
      <c r="P49" s="6"/>
      <c r="Q49" s="6">
        <f t="shared" si="149"/>
        <v>1127</v>
      </c>
      <c r="R49" s="6"/>
      <c r="S49" s="6"/>
      <c r="T49" s="6">
        <f t="shared" si="124"/>
        <v>1127</v>
      </c>
      <c r="U49" s="6"/>
      <c r="V49" s="6"/>
      <c r="W49" s="6">
        <f t="shared" si="125"/>
        <v>1127</v>
      </c>
      <c r="X49" s="6"/>
      <c r="Y49" s="6"/>
      <c r="Z49" s="6">
        <f t="shared" si="126"/>
        <v>1127</v>
      </c>
      <c r="AA49" s="6"/>
      <c r="AB49" s="6"/>
      <c r="AC49" s="6">
        <f t="shared" si="127"/>
        <v>1127</v>
      </c>
      <c r="AD49" s="6"/>
      <c r="AE49" s="6"/>
      <c r="AF49" s="6">
        <f t="shared" si="128"/>
        <v>1127</v>
      </c>
      <c r="AG49" s="6"/>
      <c r="AH49" s="6"/>
      <c r="AI49" s="6">
        <f t="shared" si="129"/>
        <v>1127</v>
      </c>
      <c r="AJ49" s="6"/>
      <c r="AK49" s="6"/>
      <c r="AL49" s="6">
        <f t="shared" si="130"/>
        <v>1127</v>
      </c>
      <c r="AM49" s="6"/>
      <c r="AN49" s="6"/>
      <c r="AO49" s="6">
        <f t="shared" si="131"/>
        <v>1127</v>
      </c>
      <c r="AP49" s="6"/>
      <c r="AQ49" s="6"/>
      <c r="AR49" s="6">
        <f t="shared" si="132"/>
        <v>1127</v>
      </c>
      <c r="AS49" s="6"/>
      <c r="AT49" s="6"/>
      <c r="AU49" s="6">
        <f t="shared" si="133"/>
        <v>1127</v>
      </c>
      <c r="AV49" s="6">
        <f t="shared" si="134"/>
        <v>0</v>
      </c>
      <c r="AW49" s="6">
        <f t="shared" si="135"/>
        <v>0</v>
      </c>
      <c r="AX49" s="6">
        <f t="shared" si="136"/>
        <v>0</v>
      </c>
      <c r="AY49" s="6">
        <f t="shared" si="137"/>
        <v>0</v>
      </c>
      <c r="AZ49" s="6">
        <f t="shared" si="138"/>
        <v>0</v>
      </c>
      <c r="BA49" s="6">
        <f t="shared" si="139"/>
        <v>0</v>
      </c>
      <c r="BB49" s="6">
        <f t="shared" si="140"/>
        <v>0</v>
      </c>
      <c r="BC49" s="6">
        <f t="shared" si="141"/>
        <v>0</v>
      </c>
      <c r="BD49" s="6">
        <f t="shared" si="142"/>
        <v>0</v>
      </c>
      <c r="BE49" s="6">
        <f t="shared" si="143"/>
        <v>0</v>
      </c>
      <c r="BF49" s="6">
        <f t="shared" si="144"/>
        <v>0</v>
      </c>
      <c r="BG49" s="6">
        <f t="shared" si="145"/>
        <v>0</v>
      </c>
      <c r="BH49" s="6">
        <f t="shared" si="146"/>
        <v>0</v>
      </c>
    </row>
    <row r="50" spans="1:60" x14ac:dyDescent="0.15">
      <c r="A50" s="39" t="s">
        <v>132</v>
      </c>
      <c r="D50" s="2" t="s">
        <v>162</v>
      </c>
      <c r="E50" s="39" t="s">
        <v>146</v>
      </c>
      <c r="F50" s="40">
        <v>0.2</v>
      </c>
      <c r="G50" s="6">
        <v>1151.5</v>
      </c>
      <c r="H50" s="6"/>
      <c r="I50" s="6"/>
      <c r="J50" s="6">
        <f t="shared" si="147"/>
        <v>1151.5</v>
      </c>
      <c r="K50" s="6">
        <v>1151.5</v>
      </c>
      <c r="L50" s="6"/>
      <c r="M50" s="6"/>
      <c r="N50" s="6">
        <f t="shared" si="148"/>
        <v>1151.5</v>
      </c>
      <c r="O50" s="6"/>
      <c r="P50" s="6"/>
      <c r="Q50" s="6">
        <f t="shared" si="149"/>
        <v>1151.5</v>
      </c>
      <c r="R50" s="6"/>
      <c r="S50" s="6"/>
      <c r="T50" s="6">
        <f t="shared" si="124"/>
        <v>1151.5</v>
      </c>
      <c r="U50" s="6"/>
      <c r="V50" s="6"/>
      <c r="W50" s="6">
        <f t="shared" si="125"/>
        <v>1151.5</v>
      </c>
      <c r="X50" s="6"/>
      <c r="Y50" s="6"/>
      <c r="Z50" s="6">
        <f t="shared" si="126"/>
        <v>1151.5</v>
      </c>
      <c r="AA50" s="6"/>
      <c r="AB50" s="6"/>
      <c r="AC50" s="6">
        <f t="shared" si="127"/>
        <v>1151.5</v>
      </c>
      <c r="AD50" s="6"/>
      <c r="AE50" s="6"/>
      <c r="AF50" s="6">
        <f t="shared" si="128"/>
        <v>1151.5</v>
      </c>
      <c r="AG50" s="6"/>
      <c r="AH50" s="6"/>
      <c r="AI50" s="6">
        <f t="shared" si="129"/>
        <v>1151.5</v>
      </c>
      <c r="AJ50" s="6"/>
      <c r="AK50" s="6"/>
      <c r="AL50" s="6">
        <f t="shared" si="130"/>
        <v>1151.5</v>
      </c>
      <c r="AM50" s="6"/>
      <c r="AN50" s="6"/>
      <c r="AO50" s="6">
        <f t="shared" si="131"/>
        <v>1151.5</v>
      </c>
      <c r="AP50" s="6"/>
      <c r="AQ50" s="6"/>
      <c r="AR50" s="6">
        <f t="shared" si="132"/>
        <v>1151.5</v>
      </c>
      <c r="AS50" s="6"/>
      <c r="AT50" s="6"/>
      <c r="AU50" s="6">
        <f t="shared" si="133"/>
        <v>1151.5</v>
      </c>
      <c r="AV50" s="6">
        <f t="shared" si="134"/>
        <v>0</v>
      </c>
      <c r="AW50" s="6">
        <f t="shared" si="135"/>
        <v>0</v>
      </c>
      <c r="AX50" s="6">
        <f t="shared" si="136"/>
        <v>0</v>
      </c>
      <c r="AY50" s="6">
        <f t="shared" si="137"/>
        <v>0</v>
      </c>
      <c r="AZ50" s="6">
        <f t="shared" si="138"/>
        <v>0</v>
      </c>
      <c r="BA50" s="6">
        <f t="shared" si="139"/>
        <v>0</v>
      </c>
      <c r="BB50" s="6">
        <f t="shared" si="140"/>
        <v>0</v>
      </c>
      <c r="BC50" s="6">
        <f t="shared" si="141"/>
        <v>0</v>
      </c>
      <c r="BD50" s="6">
        <f t="shared" si="142"/>
        <v>0</v>
      </c>
      <c r="BE50" s="6">
        <f t="shared" si="143"/>
        <v>0</v>
      </c>
      <c r="BF50" s="6">
        <f t="shared" si="144"/>
        <v>0</v>
      </c>
      <c r="BG50" s="6">
        <f t="shared" si="145"/>
        <v>0</v>
      </c>
      <c r="BH50" s="6">
        <f t="shared" si="146"/>
        <v>0</v>
      </c>
    </row>
    <row r="51" spans="1:60" x14ac:dyDescent="0.15">
      <c r="A51" s="39" t="s">
        <v>163</v>
      </c>
      <c r="D51" s="2" t="s">
        <v>164</v>
      </c>
      <c r="E51" s="39" t="s">
        <v>146</v>
      </c>
      <c r="F51" s="40">
        <v>0.2</v>
      </c>
      <c r="G51" s="6">
        <v>1054.21</v>
      </c>
      <c r="H51" s="6"/>
      <c r="I51" s="6"/>
      <c r="J51" s="6">
        <f t="shared" si="147"/>
        <v>1054.21</v>
      </c>
      <c r="K51" s="6">
        <v>632.52</v>
      </c>
      <c r="L51" s="6">
        <f>+ROUND(+$J51*$F51,2)</f>
        <v>210.84</v>
      </c>
      <c r="M51" s="6"/>
      <c r="N51" s="6">
        <f t="shared" si="148"/>
        <v>843.36</v>
      </c>
      <c r="O51" s="6">
        <f>+ROUND(+$J51*$F51,2)</f>
        <v>210.84</v>
      </c>
      <c r="P51" s="6"/>
      <c r="Q51" s="6">
        <f>+N51+O51+P51+0.01</f>
        <v>1054.21</v>
      </c>
      <c r="R51" s="6"/>
      <c r="S51" s="6"/>
      <c r="T51" s="6">
        <f t="shared" si="124"/>
        <v>1054.21</v>
      </c>
      <c r="U51" s="6"/>
      <c r="V51" s="6"/>
      <c r="W51" s="6">
        <f t="shared" si="125"/>
        <v>1054.21</v>
      </c>
      <c r="X51" s="6"/>
      <c r="Y51" s="6"/>
      <c r="Z51" s="6">
        <f t="shared" si="126"/>
        <v>1054.21</v>
      </c>
      <c r="AA51" s="6"/>
      <c r="AB51" s="6"/>
      <c r="AC51" s="6">
        <f t="shared" si="127"/>
        <v>1054.21</v>
      </c>
      <c r="AD51" s="6"/>
      <c r="AE51" s="6"/>
      <c r="AF51" s="6">
        <f t="shared" si="128"/>
        <v>1054.21</v>
      </c>
      <c r="AG51" s="6"/>
      <c r="AH51" s="6"/>
      <c r="AI51" s="6">
        <f t="shared" si="129"/>
        <v>1054.21</v>
      </c>
      <c r="AJ51" s="6"/>
      <c r="AK51" s="6"/>
      <c r="AL51" s="6">
        <f t="shared" si="130"/>
        <v>1054.21</v>
      </c>
      <c r="AM51" s="6"/>
      <c r="AN51" s="6"/>
      <c r="AO51" s="6">
        <f t="shared" si="131"/>
        <v>1054.21</v>
      </c>
      <c r="AP51" s="6"/>
      <c r="AQ51" s="6"/>
      <c r="AR51" s="6">
        <f t="shared" si="132"/>
        <v>1054.21</v>
      </c>
      <c r="AS51" s="6"/>
      <c r="AT51" s="6"/>
      <c r="AU51" s="6">
        <f t="shared" si="133"/>
        <v>1054.21</v>
      </c>
      <c r="AV51" s="6">
        <f t="shared" si="134"/>
        <v>421.69000000000005</v>
      </c>
      <c r="AW51" s="6">
        <f t="shared" si="135"/>
        <v>210.85000000000002</v>
      </c>
      <c r="AX51" s="6">
        <f t="shared" si="136"/>
        <v>0</v>
      </c>
      <c r="AY51" s="6">
        <f t="shared" si="137"/>
        <v>0</v>
      </c>
      <c r="AZ51" s="6">
        <f t="shared" si="138"/>
        <v>0</v>
      </c>
      <c r="BA51" s="6">
        <f t="shared" si="139"/>
        <v>0</v>
      </c>
      <c r="BB51" s="6">
        <f t="shared" si="140"/>
        <v>0</v>
      </c>
      <c r="BC51" s="6">
        <f t="shared" si="141"/>
        <v>0</v>
      </c>
      <c r="BD51" s="6">
        <f t="shared" si="142"/>
        <v>0</v>
      </c>
      <c r="BE51" s="6">
        <f t="shared" si="143"/>
        <v>0</v>
      </c>
      <c r="BF51" s="6">
        <f t="shared" si="144"/>
        <v>0</v>
      </c>
      <c r="BG51" s="6">
        <f t="shared" si="145"/>
        <v>0</v>
      </c>
      <c r="BH51" s="6">
        <f t="shared" si="146"/>
        <v>0</v>
      </c>
    </row>
    <row r="52" spans="1:60" x14ac:dyDescent="0.15">
      <c r="A52" s="39" t="s">
        <v>139</v>
      </c>
      <c r="D52" s="2" t="s">
        <v>165</v>
      </c>
      <c r="E52" s="39" t="s">
        <v>146</v>
      </c>
      <c r="F52" s="40">
        <v>0.33329999999999999</v>
      </c>
      <c r="G52" s="6">
        <v>775.73</v>
      </c>
      <c r="H52" s="6"/>
      <c r="I52" s="6"/>
      <c r="J52" s="6">
        <f t="shared" si="147"/>
        <v>775.73</v>
      </c>
      <c r="K52" s="6">
        <v>258.58</v>
      </c>
      <c r="L52" s="6">
        <f>+ROUND(+$J52*$F52,2)</f>
        <v>258.55</v>
      </c>
      <c r="M52" s="6"/>
      <c r="N52" s="6">
        <f t="shared" si="148"/>
        <v>517.13</v>
      </c>
      <c r="O52" s="6">
        <f>+ROUND(+$J52*$F52,2)</f>
        <v>258.55</v>
      </c>
      <c r="P52" s="6"/>
      <c r="Q52" s="6">
        <f>+N52+O52+P52+0.05</f>
        <v>775.73</v>
      </c>
      <c r="R52" s="6"/>
      <c r="S52" s="6"/>
      <c r="T52" s="6">
        <f t="shared" si="124"/>
        <v>775.73</v>
      </c>
      <c r="U52" s="6"/>
      <c r="V52" s="6"/>
      <c r="W52" s="6">
        <f t="shared" si="125"/>
        <v>775.73</v>
      </c>
      <c r="X52" s="6"/>
      <c r="Y52" s="6"/>
      <c r="Z52" s="6">
        <f t="shared" si="126"/>
        <v>775.73</v>
      </c>
      <c r="AA52" s="6"/>
      <c r="AB52" s="6"/>
      <c r="AC52" s="6">
        <f t="shared" si="127"/>
        <v>775.73</v>
      </c>
      <c r="AD52" s="6"/>
      <c r="AE52" s="6"/>
      <c r="AF52" s="6">
        <f t="shared" si="128"/>
        <v>775.73</v>
      </c>
      <c r="AG52" s="6"/>
      <c r="AH52" s="6"/>
      <c r="AI52" s="6">
        <f t="shared" si="129"/>
        <v>775.73</v>
      </c>
      <c r="AJ52" s="6"/>
      <c r="AK52" s="6"/>
      <c r="AL52" s="6">
        <f t="shared" si="130"/>
        <v>775.73</v>
      </c>
      <c r="AM52" s="6"/>
      <c r="AN52" s="6"/>
      <c r="AO52" s="6">
        <f t="shared" si="131"/>
        <v>775.73</v>
      </c>
      <c r="AP52" s="6"/>
      <c r="AQ52" s="6"/>
      <c r="AR52" s="6">
        <f t="shared" si="132"/>
        <v>775.73</v>
      </c>
      <c r="AS52" s="6"/>
      <c r="AT52" s="6"/>
      <c r="AU52" s="6">
        <f t="shared" si="133"/>
        <v>775.73</v>
      </c>
      <c r="AV52" s="6">
        <f t="shared" si="134"/>
        <v>517.15000000000009</v>
      </c>
      <c r="AW52" s="6">
        <f t="shared" si="135"/>
        <v>258.60000000000002</v>
      </c>
      <c r="AX52" s="6">
        <f t="shared" si="136"/>
        <v>0</v>
      </c>
      <c r="AY52" s="6">
        <f t="shared" si="137"/>
        <v>0</v>
      </c>
      <c r="AZ52" s="6">
        <f t="shared" si="138"/>
        <v>0</v>
      </c>
      <c r="BA52" s="6">
        <f t="shared" si="139"/>
        <v>0</v>
      </c>
      <c r="BB52" s="6">
        <f t="shared" si="140"/>
        <v>0</v>
      </c>
      <c r="BC52" s="6">
        <f t="shared" si="141"/>
        <v>0</v>
      </c>
      <c r="BD52" s="6">
        <f t="shared" si="142"/>
        <v>0</v>
      </c>
      <c r="BE52" s="6">
        <f t="shared" si="143"/>
        <v>0</v>
      </c>
      <c r="BF52" s="6">
        <f t="shared" si="144"/>
        <v>0</v>
      </c>
      <c r="BG52" s="6">
        <f t="shared" si="145"/>
        <v>0</v>
      </c>
      <c r="BH52" s="6">
        <f t="shared" si="146"/>
        <v>0</v>
      </c>
    </row>
    <row r="53" spans="1:60" x14ac:dyDescent="0.15">
      <c r="A53" s="39" t="s">
        <v>166</v>
      </c>
      <c r="D53" s="2" t="s">
        <v>167</v>
      </c>
      <c r="E53" s="39" t="s">
        <v>146</v>
      </c>
      <c r="F53" s="40">
        <v>0.33329999999999999</v>
      </c>
      <c r="G53" s="6">
        <v>1721</v>
      </c>
      <c r="H53" s="6"/>
      <c r="I53" s="6"/>
      <c r="J53" s="6">
        <f t="shared" si="147"/>
        <v>1721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>+ROUND(+$J53*$F53,2)</f>
        <v>573.61</v>
      </c>
      <c r="Y53" s="6"/>
      <c r="Z53" s="6">
        <f t="shared" si="126"/>
        <v>573.61</v>
      </c>
      <c r="AA53" s="6">
        <f>+ROUND(+$J53*$F53,2)</f>
        <v>573.61</v>
      </c>
      <c r="AB53" s="6"/>
      <c r="AC53" s="6">
        <f t="shared" si="127"/>
        <v>1147.22</v>
      </c>
      <c r="AD53" s="6">
        <f>+ROUND(+$J53*$F53,2)+0.17</f>
        <v>573.78</v>
      </c>
      <c r="AE53" s="6"/>
      <c r="AF53" s="6">
        <f t="shared" si="128"/>
        <v>1721</v>
      </c>
      <c r="AG53" s="6"/>
      <c r="AH53" s="6"/>
      <c r="AI53" s="6">
        <f t="shared" si="129"/>
        <v>1721</v>
      </c>
      <c r="AJ53" s="6"/>
      <c r="AK53" s="6"/>
      <c r="AL53" s="6">
        <f t="shared" si="130"/>
        <v>1721</v>
      </c>
      <c r="AM53" s="6"/>
      <c r="AN53" s="6"/>
      <c r="AO53" s="6">
        <f t="shared" si="131"/>
        <v>1721</v>
      </c>
      <c r="AP53" s="6"/>
      <c r="AQ53" s="6"/>
      <c r="AR53" s="6">
        <f t="shared" si="132"/>
        <v>1721</v>
      </c>
      <c r="AS53" s="6"/>
      <c r="AT53" s="6"/>
      <c r="AU53" s="6">
        <f t="shared" si="133"/>
        <v>1721</v>
      </c>
      <c r="AV53" s="6"/>
      <c r="AW53" s="6"/>
      <c r="AX53" s="6"/>
      <c r="AY53" s="6"/>
      <c r="AZ53" s="6"/>
      <c r="BA53" s="6">
        <f t="shared" si="139"/>
        <v>1147.3899999999999</v>
      </c>
      <c r="BB53" s="6">
        <f t="shared" si="140"/>
        <v>573.78</v>
      </c>
      <c r="BC53" s="6">
        <f t="shared" si="141"/>
        <v>0</v>
      </c>
      <c r="BD53" s="6">
        <f t="shared" si="142"/>
        <v>0</v>
      </c>
      <c r="BE53" s="6">
        <f t="shared" si="143"/>
        <v>0</v>
      </c>
      <c r="BF53" s="6">
        <f t="shared" si="144"/>
        <v>0</v>
      </c>
      <c r="BG53" s="6">
        <f t="shared" si="145"/>
        <v>0</v>
      </c>
      <c r="BH53" s="6">
        <f t="shared" si="146"/>
        <v>0</v>
      </c>
    </row>
    <row r="54" spans="1:60" s="11" customFormat="1" x14ac:dyDescent="0.15">
      <c r="A54" s="41" t="s">
        <v>168</v>
      </c>
      <c r="B54" s="41"/>
      <c r="C54" s="41"/>
      <c r="D54" s="42"/>
      <c r="E54" s="28"/>
      <c r="F54" s="43"/>
      <c r="G54" s="44">
        <f>SUM(G47:G53)</f>
        <v>12578.82</v>
      </c>
      <c r="H54" s="44">
        <f t="shared" ref="H54:BG54" si="150">SUM(H47:H53)</f>
        <v>0</v>
      </c>
      <c r="I54" s="44">
        <f t="shared" si="150"/>
        <v>0</v>
      </c>
      <c r="J54" s="44">
        <f t="shared" si="150"/>
        <v>12578.82</v>
      </c>
      <c r="K54" s="44">
        <f t="shared" si="150"/>
        <v>9918.9800000000014</v>
      </c>
      <c r="L54" s="44">
        <f t="shared" si="150"/>
        <v>469.39</v>
      </c>
      <c r="M54" s="44">
        <f t="shared" si="150"/>
        <v>0</v>
      </c>
      <c r="N54" s="44">
        <f t="shared" si="150"/>
        <v>10388.370000000001</v>
      </c>
      <c r="O54" s="44">
        <f t="shared" si="150"/>
        <v>469.39</v>
      </c>
      <c r="P54" s="44">
        <f t="shared" si="150"/>
        <v>0</v>
      </c>
      <c r="Q54" s="44">
        <f t="shared" si="150"/>
        <v>10857.82</v>
      </c>
      <c r="R54" s="44">
        <f t="shared" si="150"/>
        <v>0</v>
      </c>
      <c r="S54" s="44">
        <f t="shared" si="150"/>
        <v>0</v>
      </c>
      <c r="T54" s="44">
        <f t="shared" si="150"/>
        <v>10857.82</v>
      </c>
      <c r="U54" s="44">
        <f t="shared" si="150"/>
        <v>0</v>
      </c>
      <c r="V54" s="44">
        <f t="shared" si="150"/>
        <v>0</v>
      </c>
      <c r="W54" s="44">
        <f t="shared" si="150"/>
        <v>10857.82</v>
      </c>
      <c r="X54" s="44">
        <f t="shared" si="150"/>
        <v>573.61</v>
      </c>
      <c r="Y54" s="44">
        <f t="shared" si="150"/>
        <v>0</v>
      </c>
      <c r="Z54" s="44">
        <f t="shared" si="150"/>
        <v>11431.43</v>
      </c>
      <c r="AA54" s="44">
        <f t="shared" si="150"/>
        <v>573.61</v>
      </c>
      <c r="AB54" s="44">
        <f t="shared" si="150"/>
        <v>0</v>
      </c>
      <c r="AC54" s="44">
        <f t="shared" si="150"/>
        <v>12005.039999999999</v>
      </c>
      <c r="AD54" s="44">
        <f t="shared" si="150"/>
        <v>573.78</v>
      </c>
      <c r="AE54" s="44">
        <f t="shared" si="150"/>
        <v>0</v>
      </c>
      <c r="AF54" s="44">
        <f t="shared" si="150"/>
        <v>12578.82</v>
      </c>
      <c r="AG54" s="44">
        <f t="shared" si="150"/>
        <v>0</v>
      </c>
      <c r="AH54" s="44">
        <f t="shared" si="150"/>
        <v>0</v>
      </c>
      <c r="AI54" s="44">
        <f t="shared" si="150"/>
        <v>12578.82</v>
      </c>
      <c r="AJ54" s="44">
        <f t="shared" si="150"/>
        <v>0</v>
      </c>
      <c r="AK54" s="44">
        <f t="shared" si="150"/>
        <v>0</v>
      </c>
      <c r="AL54" s="44">
        <f t="shared" si="150"/>
        <v>12578.82</v>
      </c>
      <c r="AM54" s="44">
        <f t="shared" si="150"/>
        <v>0</v>
      </c>
      <c r="AN54" s="44">
        <f t="shared" si="150"/>
        <v>0</v>
      </c>
      <c r="AO54" s="44">
        <f t="shared" si="150"/>
        <v>12578.82</v>
      </c>
      <c r="AP54" s="44">
        <f t="shared" si="150"/>
        <v>0</v>
      </c>
      <c r="AQ54" s="44">
        <f t="shared" si="150"/>
        <v>0</v>
      </c>
      <c r="AR54" s="44">
        <f t="shared" si="150"/>
        <v>12578.82</v>
      </c>
      <c r="AS54" s="44">
        <f t="shared" ref="AS54:AU54" si="151">SUM(AS47:AS53)</f>
        <v>0</v>
      </c>
      <c r="AT54" s="44">
        <f t="shared" si="151"/>
        <v>0</v>
      </c>
      <c r="AU54" s="44">
        <f t="shared" si="151"/>
        <v>12578.82</v>
      </c>
      <c r="AV54" s="44">
        <f t="shared" si="150"/>
        <v>938.84000000000015</v>
      </c>
      <c r="AW54" s="44">
        <f t="shared" si="150"/>
        <v>469.45000000000005</v>
      </c>
      <c r="AX54" s="44">
        <f t="shared" si="150"/>
        <v>0</v>
      </c>
      <c r="AY54" s="44">
        <f t="shared" si="150"/>
        <v>0</v>
      </c>
      <c r="AZ54" s="44">
        <f t="shared" si="150"/>
        <v>0</v>
      </c>
      <c r="BA54" s="44">
        <f t="shared" si="150"/>
        <v>1147.3899999999999</v>
      </c>
      <c r="BB54" s="44">
        <f t="shared" si="150"/>
        <v>573.78</v>
      </c>
      <c r="BC54" s="44">
        <f t="shared" si="150"/>
        <v>0</v>
      </c>
      <c r="BD54" s="44">
        <f t="shared" si="150"/>
        <v>0</v>
      </c>
      <c r="BE54" s="44">
        <f t="shared" si="150"/>
        <v>0</v>
      </c>
      <c r="BF54" s="44">
        <f t="shared" si="150"/>
        <v>0</v>
      </c>
      <c r="BG54" s="44">
        <f t="shared" si="150"/>
        <v>0</v>
      </c>
      <c r="BH54" s="44">
        <f t="shared" ref="BH54" si="152">SUM(BH47:BH53)</f>
        <v>0</v>
      </c>
    </row>
    <row r="56" spans="1:60" s="11" customFormat="1" x14ac:dyDescent="0.15">
      <c r="A56" s="46" t="s">
        <v>171</v>
      </c>
      <c r="B56" s="46"/>
      <c r="C56" s="46"/>
      <c r="E56" s="32"/>
      <c r="F56" s="47"/>
      <c r="G56" s="48">
        <f>+G6+G12+G33+G42+G27+G54+G19</f>
        <v>519260.16000000003</v>
      </c>
      <c r="H56" s="48">
        <f t="shared" ref="H56:BG56" si="153">+H6+H12+H33+H42+H27+H54+H19</f>
        <v>0</v>
      </c>
      <c r="I56" s="48">
        <f t="shared" si="153"/>
        <v>0</v>
      </c>
      <c r="J56" s="48">
        <f t="shared" si="153"/>
        <v>519260.16000000003</v>
      </c>
      <c r="K56" s="48">
        <f t="shared" si="153"/>
        <v>37069.060000000005</v>
      </c>
      <c r="L56" s="48">
        <f t="shared" si="153"/>
        <v>469.39</v>
      </c>
      <c r="M56" s="48">
        <f t="shared" si="153"/>
        <v>0</v>
      </c>
      <c r="N56" s="48">
        <f t="shared" si="153"/>
        <v>37538.450000000004</v>
      </c>
      <c r="O56" s="48">
        <f t="shared" si="153"/>
        <v>469.39</v>
      </c>
      <c r="P56" s="48">
        <f t="shared" si="153"/>
        <v>0</v>
      </c>
      <c r="Q56" s="48">
        <f t="shared" si="153"/>
        <v>38007.9</v>
      </c>
      <c r="R56" s="48">
        <f t="shared" si="153"/>
        <v>1060.33</v>
      </c>
      <c r="S56" s="48">
        <f t="shared" si="153"/>
        <v>0</v>
      </c>
      <c r="T56" s="48">
        <f t="shared" si="153"/>
        <v>39068.230000000003</v>
      </c>
      <c r="U56" s="48">
        <f t="shared" si="153"/>
        <v>21079.33</v>
      </c>
      <c r="V56" s="48">
        <f t="shared" si="153"/>
        <v>0</v>
      </c>
      <c r="W56" s="48">
        <f t="shared" si="153"/>
        <v>60147.56</v>
      </c>
      <c r="X56" s="48">
        <f t="shared" si="153"/>
        <v>6084.55</v>
      </c>
      <c r="Y56" s="48">
        <f t="shared" si="153"/>
        <v>0</v>
      </c>
      <c r="Z56" s="48">
        <f t="shared" si="153"/>
        <v>66232.11</v>
      </c>
      <c r="AA56" s="48">
        <f t="shared" si="153"/>
        <v>6084.55</v>
      </c>
      <c r="AB56" s="48">
        <f t="shared" si="153"/>
        <v>0</v>
      </c>
      <c r="AC56" s="48">
        <f t="shared" si="153"/>
        <v>72316.66</v>
      </c>
      <c r="AD56" s="48">
        <f t="shared" si="153"/>
        <v>6084.72</v>
      </c>
      <c r="AE56" s="48">
        <f t="shared" si="153"/>
        <v>0</v>
      </c>
      <c r="AF56" s="48">
        <f t="shared" si="153"/>
        <v>78401.38</v>
      </c>
      <c r="AG56" s="48">
        <f t="shared" si="153"/>
        <v>14745.63</v>
      </c>
      <c r="AH56" s="48">
        <f t="shared" si="153"/>
        <v>0</v>
      </c>
      <c r="AI56" s="48">
        <f t="shared" si="153"/>
        <v>93147.010000000009</v>
      </c>
      <c r="AJ56" s="48">
        <f t="shared" si="153"/>
        <v>14745.63</v>
      </c>
      <c r="AK56" s="48">
        <f t="shared" si="153"/>
        <v>0</v>
      </c>
      <c r="AL56" s="48">
        <f t="shared" si="153"/>
        <v>107892.64</v>
      </c>
      <c r="AM56" s="48">
        <f t="shared" si="153"/>
        <v>19060.18</v>
      </c>
      <c r="AN56" s="48">
        <f t="shared" si="153"/>
        <v>0</v>
      </c>
      <c r="AO56" s="48">
        <f t="shared" si="153"/>
        <v>126952.82</v>
      </c>
      <c r="AP56" s="48">
        <f t="shared" si="153"/>
        <v>19060.18</v>
      </c>
      <c r="AQ56" s="48">
        <f t="shared" si="153"/>
        <v>0</v>
      </c>
      <c r="AR56" s="48">
        <f t="shared" si="153"/>
        <v>146013</v>
      </c>
      <c r="AS56" s="48">
        <f t="shared" ref="AS56:AU56" si="154">+AS6+AS12+AS33+AS42+AS27+AS54+AS19</f>
        <v>14298.82</v>
      </c>
      <c r="AT56" s="48">
        <f t="shared" si="154"/>
        <v>0</v>
      </c>
      <c r="AU56" s="48">
        <f t="shared" si="154"/>
        <v>160311.82</v>
      </c>
      <c r="AV56" s="48">
        <f t="shared" si="153"/>
        <v>350938.83999999997</v>
      </c>
      <c r="AW56" s="48">
        <f t="shared" si="153"/>
        <v>350469.45</v>
      </c>
      <c r="AX56" s="48">
        <f t="shared" si="153"/>
        <v>350000</v>
      </c>
      <c r="AY56" s="48">
        <f t="shared" si="153"/>
        <v>354241.32</v>
      </c>
      <c r="AZ56" s="48">
        <f t="shared" si="153"/>
        <v>333161.99</v>
      </c>
      <c r="BA56" s="48">
        <f t="shared" si="153"/>
        <v>331032.49</v>
      </c>
      <c r="BB56" s="48">
        <f t="shared" si="153"/>
        <v>324947.93999999994</v>
      </c>
      <c r="BC56" s="48">
        <f t="shared" si="153"/>
        <v>318863.21999999997</v>
      </c>
      <c r="BD56" s="48">
        <f t="shared" si="153"/>
        <v>407067.75</v>
      </c>
      <c r="BE56" s="48">
        <f t="shared" si="153"/>
        <v>392322.12</v>
      </c>
      <c r="BF56" s="48">
        <f t="shared" si="153"/>
        <v>392307.33999999997</v>
      </c>
      <c r="BG56" s="48">
        <f t="shared" si="153"/>
        <v>373247.16</v>
      </c>
      <c r="BH56" s="48">
        <f t="shared" ref="BH56" si="155">+BH6+BH12+BH33+BH42+BH27+BH54+BH19</f>
        <v>358948.33999999997</v>
      </c>
    </row>
    <row r="58" spans="1:60" x14ac:dyDescent="0.15">
      <c r="BF58" s="6"/>
      <c r="BG58" s="6"/>
      <c r="BH58" s="6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0504-92FA-4E94-A615-0F174448D581}">
  <dimension ref="A2:XFD37"/>
  <sheetViews>
    <sheetView workbookViewId="0">
      <selection activeCell="B11" sqref="B11"/>
    </sheetView>
  </sheetViews>
  <sheetFormatPr baseColWidth="10" defaultColWidth="9.1640625" defaultRowHeight="13" x14ac:dyDescent="0.15"/>
  <cols>
    <col min="1" max="1" width="13.5" style="2" bestFit="1" customWidth="1"/>
    <col min="2" max="16384" width="9.1640625" style="2"/>
  </cols>
  <sheetData>
    <row r="2" spans="1:9 16384:16384" x14ac:dyDescent="0.15">
      <c r="A2" s="39" t="s">
        <v>105</v>
      </c>
      <c r="B2" s="39">
        <v>1</v>
      </c>
      <c r="C2" s="39">
        <v>2</v>
      </c>
      <c r="D2" s="39">
        <v>3</v>
      </c>
      <c r="E2" s="39">
        <v>4</v>
      </c>
      <c r="F2" s="39">
        <v>5</v>
      </c>
      <c r="G2" s="39">
        <v>6</v>
      </c>
    </row>
    <row r="3" spans="1:9 16384:16384" x14ac:dyDescent="0.15">
      <c r="A3" s="39" t="s">
        <v>189</v>
      </c>
      <c r="B3" s="39">
        <v>2021</v>
      </c>
      <c r="C3" s="39">
        <v>2022</v>
      </c>
      <c r="D3" s="39">
        <v>2023</v>
      </c>
      <c r="E3" s="39">
        <v>2024</v>
      </c>
      <c r="F3" s="39">
        <v>2025</v>
      </c>
      <c r="G3" s="39">
        <v>2026</v>
      </c>
    </row>
    <row r="4" spans="1:9 16384:16384" x14ac:dyDescent="0.15">
      <c r="A4" s="58"/>
      <c r="B4" s="58"/>
      <c r="C4" s="58"/>
      <c r="D4" s="58"/>
      <c r="E4" s="58"/>
      <c r="F4" s="58"/>
      <c r="G4" s="58"/>
    </row>
    <row r="5" spans="1:9 16384:16384" x14ac:dyDescent="0.15">
      <c r="A5" s="2" t="s">
        <v>190</v>
      </c>
      <c r="B5" s="6">
        <v>4000</v>
      </c>
      <c r="C5" s="6">
        <v>14700</v>
      </c>
      <c r="D5" s="6">
        <v>1300</v>
      </c>
      <c r="E5" s="6"/>
      <c r="F5" s="6"/>
      <c r="G5" s="6"/>
      <c r="H5" s="6"/>
      <c r="I5" s="6"/>
    </row>
    <row r="6" spans="1:9 16384:16384" x14ac:dyDescent="0.15">
      <c r="A6" s="2" t="s">
        <v>191</v>
      </c>
      <c r="B6" s="6">
        <f>+ROUND(+B5*0.21,2)</f>
        <v>840</v>
      </c>
      <c r="C6" s="6">
        <f>+ROUND(+C5*0.21,2)</f>
        <v>3087</v>
      </c>
      <c r="D6" s="6">
        <f>+ROUND(+D5*0.21,2)</f>
        <v>273</v>
      </c>
      <c r="E6" s="6"/>
      <c r="F6" s="6"/>
      <c r="G6" s="6"/>
      <c r="H6" s="6"/>
      <c r="I6" s="6"/>
    </row>
    <row r="7" spans="1:9 16384:16384" x14ac:dyDescent="0.15">
      <c r="A7" s="2" t="s">
        <v>190</v>
      </c>
      <c r="B7" s="6"/>
      <c r="C7" s="6"/>
      <c r="D7" s="6">
        <v>2000</v>
      </c>
      <c r="E7" s="6">
        <v>2000</v>
      </c>
      <c r="F7" s="6">
        <v>2000</v>
      </c>
      <c r="G7" s="6"/>
      <c r="H7" s="6"/>
      <c r="I7" s="6"/>
    </row>
    <row r="8" spans="1:9 16384:16384" x14ac:dyDescent="0.15">
      <c r="A8" s="2" t="s">
        <v>191</v>
      </c>
      <c r="B8" s="6"/>
      <c r="C8" s="6"/>
      <c r="D8" s="6">
        <f>+ROUND(+D7*0.21,2)</f>
        <v>420</v>
      </c>
      <c r="E8" s="6">
        <f t="shared" ref="E8:F8" si="0">+ROUND(+E7*0.21,2)</f>
        <v>420</v>
      </c>
      <c r="F8" s="6">
        <f t="shared" si="0"/>
        <v>420</v>
      </c>
      <c r="G8" s="6"/>
      <c r="H8" s="6"/>
      <c r="I8" s="6"/>
    </row>
    <row r="9" spans="1:9 16384:16384" x14ac:dyDescent="0.15">
      <c r="B9" s="6"/>
      <c r="C9" s="6"/>
      <c r="D9" s="6"/>
      <c r="E9" s="6"/>
      <c r="F9" s="6"/>
      <c r="G9" s="6"/>
      <c r="H9" s="6"/>
      <c r="I9" s="6"/>
    </row>
    <row r="10" spans="1:9 16384:16384" x14ac:dyDescent="0.15">
      <c r="A10" s="56" t="s">
        <v>174</v>
      </c>
      <c r="B10" s="59">
        <f t="shared" ref="B10:G10" si="1">SUM(B5:B9)</f>
        <v>4840</v>
      </c>
      <c r="C10" s="59">
        <f t="shared" si="1"/>
        <v>17787</v>
      </c>
      <c r="D10" s="59">
        <f t="shared" si="1"/>
        <v>3993</v>
      </c>
      <c r="E10" s="59">
        <f t="shared" si="1"/>
        <v>2420</v>
      </c>
      <c r="F10" s="59">
        <f t="shared" si="1"/>
        <v>2420</v>
      </c>
      <c r="G10" s="59">
        <f t="shared" si="1"/>
        <v>0</v>
      </c>
      <c r="H10" s="6"/>
      <c r="I10" s="6"/>
    </row>
    <row r="11" spans="1:9 16384:16384" x14ac:dyDescent="0.15">
      <c r="A11" s="2" t="s">
        <v>193</v>
      </c>
      <c r="B11" s="6">
        <f>SUM(B10:G10)</f>
        <v>31460</v>
      </c>
      <c r="C11" s="6"/>
      <c r="D11" s="6"/>
      <c r="E11" s="6"/>
      <c r="F11" s="6"/>
      <c r="G11" s="6"/>
      <c r="H11" s="6"/>
      <c r="I11" s="6"/>
      <c r="XFD11" s="6"/>
    </row>
    <row r="12" spans="1:9 16384:16384" x14ac:dyDescent="0.15">
      <c r="B12" s="6"/>
      <c r="C12" s="6"/>
      <c r="D12" s="6"/>
      <c r="E12" s="6"/>
      <c r="F12" s="6"/>
      <c r="G12" s="6"/>
      <c r="H12" s="6"/>
      <c r="I12" s="6"/>
    </row>
    <row r="13" spans="1:9 16384:16384" x14ac:dyDescent="0.15">
      <c r="B13" s="6">
        <v>4</v>
      </c>
      <c r="C13" s="6">
        <f>+ROUND(+C10/$B$13,2)</f>
        <v>4446.75</v>
      </c>
      <c r="D13" s="6">
        <f t="shared" ref="D13:F13" si="2">+ROUND(+D10/$B$13,2)</f>
        <v>998.25</v>
      </c>
      <c r="E13" s="6">
        <f t="shared" si="2"/>
        <v>605</v>
      </c>
      <c r="F13" s="6">
        <f t="shared" si="2"/>
        <v>605</v>
      </c>
      <c r="G13" s="6"/>
      <c r="H13" s="6"/>
      <c r="I13" s="6"/>
    </row>
    <row r="14" spans="1:9 16384:16384" x14ac:dyDescent="0.15">
      <c r="B14" s="6"/>
      <c r="C14" s="6"/>
      <c r="D14" s="6">
        <f>+C13</f>
        <v>4446.75</v>
      </c>
      <c r="E14" s="6">
        <f t="shared" ref="E14:G15" si="3">+D13</f>
        <v>998.25</v>
      </c>
      <c r="F14" s="6">
        <f t="shared" si="3"/>
        <v>605</v>
      </c>
      <c r="G14" s="6">
        <f t="shared" si="3"/>
        <v>605</v>
      </c>
      <c r="H14" s="6"/>
      <c r="I14" s="6"/>
    </row>
    <row r="15" spans="1:9 16384:16384" x14ac:dyDescent="0.15">
      <c r="B15" s="6"/>
      <c r="C15" s="6"/>
      <c r="D15" s="6"/>
      <c r="E15" s="6">
        <f>+D14</f>
        <v>4446.75</v>
      </c>
      <c r="F15" s="6">
        <f t="shared" si="3"/>
        <v>998.25</v>
      </c>
      <c r="G15" s="6">
        <f t="shared" si="3"/>
        <v>605</v>
      </c>
      <c r="H15" s="6"/>
      <c r="I15" s="6"/>
    </row>
    <row r="16" spans="1:9 16384:16384" x14ac:dyDescent="0.15">
      <c r="B16" s="6"/>
      <c r="C16" s="6"/>
      <c r="D16" s="6"/>
      <c r="E16" s="6"/>
      <c r="F16" s="6">
        <f>+E15</f>
        <v>4446.75</v>
      </c>
      <c r="G16" s="6">
        <f>+F15</f>
        <v>998.25</v>
      </c>
      <c r="H16" s="6"/>
      <c r="I16" s="6"/>
    </row>
    <row r="17" spans="1:9" x14ac:dyDescent="0.15">
      <c r="B17" s="6"/>
      <c r="C17" s="6"/>
      <c r="D17" s="6"/>
      <c r="E17" s="6"/>
      <c r="F17" s="6"/>
      <c r="G17" s="6"/>
      <c r="H17" s="6"/>
      <c r="I17" s="6"/>
    </row>
    <row r="18" spans="1:9" x14ac:dyDescent="0.15">
      <c r="A18" s="56" t="s">
        <v>194</v>
      </c>
      <c r="B18" s="59"/>
      <c r="C18" s="59">
        <f>SUM(C13:C17)</f>
        <v>4446.75</v>
      </c>
      <c r="D18" s="59">
        <f t="shared" ref="D18:G18" si="4">SUM(D13:D17)</f>
        <v>5445</v>
      </c>
      <c r="E18" s="59">
        <f t="shared" si="4"/>
        <v>6050</v>
      </c>
      <c r="F18" s="59">
        <f t="shared" si="4"/>
        <v>6655</v>
      </c>
      <c r="G18" s="59">
        <f t="shared" si="4"/>
        <v>2208.25</v>
      </c>
      <c r="H18" s="6"/>
      <c r="I18" s="6"/>
    </row>
    <row r="19" spans="1:9" x14ac:dyDescent="0.15">
      <c r="B19" s="6"/>
      <c r="C19" s="6"/>
      <c r="D19" s="6"/>
      <c r="E19" s="6"/>
      <c r="F19" s="6"/>
      <c r="G19" s="6"/>
      <c r="H19" s="6"/>
      <c r="I19" s="6"/>
    </row>
    <row r="20" spans="1:9" x14ac:dyDescent="0.15">
      <c r="B20" s="6"/>
      <c r="C20" s="6"/>
      <c r="D20" s="6"/>
      <c r="E20" s="6"/>
      <c r="F20" s="6"/>
      <c r="G20" s="6"/>
      <c r="H20" s="6"/>
      <c r="I20" s="6"/>
    </row>
    <row r="21" spans="1:9" x14ac:dyDescent="0.15">
      <c r="B21" s="6"/>
      <c r="C21" s="6"/>
      <c r="D21" s="6"/>
      <c r="E21" s="6"/>
      <c r="F21" s="6"/>
      <c r="G21" s="6"/>
      <c r="H21" s="6"/>
      <c r="I21" s="6"/>
    </row>
    <row r="22" spans="1:9" x14ac:dyDescent="0.15">
      <c r="B22" s="6"/>
      <c r="C22" s="6"/>
      <c r="D22" s="6"/>
      <c r="E22" s="6"/>
      <c r="F22" s="6"/>
      <c r="G22" s="6"/>
      <c r="H22" s="6"/>
      <c r="I22" s="6"/>
    </row>
    <row r="23" spans="1:9" x14ac:dyDescent="0.15">
      <c r="B23" s="6"/>
      <c r="C23" s="6"/>
      <c r="D23" s="6"/>
      <c r="E23" s="6"/>
      <c r="F23" s="6"/>
      <c r="G23" s="6"/>
      <c r="H23" s="6"/>
      <c r="I23" s="6"/>
    </row>
    <row r="24" spans="1:9" x14ac:dyDescent="0.15">
      <c r="A24" s="2" t="s">
        <v>192</v>
      </c>
      <c r="B24" s="6"/>
      <c r="C24" s="6">
        <v>3588</v>
      </c>
      <c r="D24" s="6">
        <v>3588</v>
      </c>
      <c r="E24" s="6">
        <v>3588</v>
      </c>
      <c r="F24" s="6">
        <v>3588</v>
      </c>
      <c r="G24" s="6">
        <v>3588</v>
      </c>
      <c r="H24" s="6"/>
      <c r="I24" s="6"/>
    </row>
    <row r="25" spans="1:9" x14ac:dyDescent="0.15">
      <c r="B25" s="6"/>
      <c r="C25" s="6"/>
      <c r="D25" s="6"/>
      <c r="E25" s="6"/>
      <c r="F25" s="6"/>
      <c r="G25" s="6"/>
      <c r="H25" s="6"/>
      <c r="I25" s="6"/>
    </row>
    <row r="26" spans="1:9" x14ac:dyDescent="0.15">
      <c r="B26" s="6"/>
      <c r="C26" s="6"/>
      <c r="D26" s="6"/>
      <c r="E26" s="6"/>
      <c r="F26" s="6"/>
      <c r="G26" s="6"/>
      <c r="H26" s="6"/>
      <c r="I26" s="6"/>
    </row>
    <row r="27" spans="1:9" x14ac:dyDescent="0.15">
      <c r="B27" s="6"/>
      <c r="C27" s="6"/>
      <c r="D27" s="6"/>
      <c r="E27" s="6"/>
      <c r="F27" s="6"/>
      <c r="G27" s="6"/>
      <c r="H27" s="6"/>
      <c r="I27" s="6"/>
    </row>
    <row r="28" spans="1:9" x14ac:dyDescent="0.15">
      <c r="B28" s="6"/>
      <c r="C28" s="6"/>
      <c r="D28" s="6"/>
      <c r="E28" s="6"/>
      <c r="F28" s="6"/>
      <c r="G28" s="6"/>
      <c r="H28" s="6"/>
      <c r="I28" s="6"/>
    </row>
    <row r="29" spans="1:9" x14ac:dyDescent="0.15">
      <c r="B29" s="6"/>
      <c r="C29" s="6"/>
      <c r="D29" s="6"/>
      <c r="E29" s="6"/>
      <c r="F29" s="6"/>
      <c r="G29" s="6"/>
      <c r="H29" s="6"/>
      <c r="I29" s="6"/>
    </row>
    <row r="30" spans="1:9" x14ac:dyDescent="0.15">
      <c r="B30" s="6"/>
      <c r="C30" s="6"/>
      <c r="D30" s="6"/>
      <c r="E30" s="6"/>
      <c r="F30" s="6"/>
      <c r="G30" s="6"/>
      <c r="H30" s="6"/>
      <c r="I30" s="6"/>
    </row>
    <row r="31" spans="1:9" x14ac:dyDescent="0.15">
      <c r="B31" s="6"/>
      <c r="C31" s="6"/>
      <c r="D31" s="6"/>
      <c r="E31" s="6"/>
      <c r="F31" s="6"/>
      <c r="G31" s="6"/>
      <c r="H31" s="6"/>
      <c r="I31" s="6"/>
    </row>
    <row r="32" spans="1:9" x14ac:dyDescent="0.15">
      <c r="B32" s="6"/>
      <c r="C32" s="6"/>
      <c r="D32" s="6"/>
      <c r="E32" s="6"/>
      <c r="F32" s="6"/>
      <c r="G32" s="6"/>
      <c r="H32" s="6"/>
      <c r="I32" s="6"/>
    </row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26344-2B2B-42B9-A0D8-0FA347587B85}">
  <dimension ref="A1:G14"/>
  <sheetViews>
    <sheetView workbookViewId="0">
      <selection activeCell="A16" sqref="A16"/>
    </sheetView>
  </sheetViews>
  <sheetFormatPr baseColWidth="10" defaultColWidth="8.83203125" defaultRowHeight="15" x14ac:dyDescent="0.2"/>
  <cols>
    <col min="2" max="2" width="23" bestFit="1" customWidth="1"/>
    <col min="3" max="3" width="6.1640625" bestFit="1" customWidth="1"/>
    <col min="4" max="4" width="10.6640625" bestFit="1" customWidth="1"/>
  </cols>
  <sheetData>
    <row r="1" spans="1:7" x14ac:dyDescent="0.2">
      <c r="A1" s="55"/>
      <c r="B1" s="55"/>
      <c r="C1" s="55" t="s">
        <v>179</v>
      </c>
      <c r="D1" s="55" t="s">
        <v>180</v>
      </c>
      <c r="E1" s="55"/>
      <c r="F1" s="55" t="s">
        <v>103</v>
      </c>
    </row>
    <row r="2" spans="1:7" x14ac:dyDescent="0.2">
      <c r="A2" s="49"/>
      <c r="B2" s="49"/>
      <c r="C2" s="49"/>
      <c r="D2" s="49"/>
      <c r="E2" s="49"/>
      <c r="F2" s="50">
        <v>2.5000000000000001E-2</v>
      </c>
    </row>
    <row r="3" spans="1:7" x14ac:dyDescent="0.2">
      <c r="A3" s="56">
        <v>610000</v>
      </c>
      <c r="B3" s="56" t="s">
        <v>1</v>
      </c>
      <c r="C3" s="2">
        <v>300.33</v>
      </c>
      <c r="D3" s="2">
        <v>12</v>
      </c>
      <c r="E3" s="6">
        <f>+C3*D3</f>
        <v>3603.96</v>
      </c>
      <c r="F3" s="52">
        <f>+ROUND(+E3+E3*$F$2,2)</f>
        <v>3694.06</v>
      </c>
    </row>
    <row r="4" spans="1:7" x14ac:dyDescent="0.2">
      <c r="A4" s="2">
        <v>613001</v>
      </c>
      <c r="B4" s="2" t="s">
        <v>8</v>
      </c>
      <c r="C4" s="2"/>
      <c r="D4" s="2"/>
      <c r="E4" s="6">
        <v>2607.84</v>
      </c>
      <c r="F4" s="52">
        <f>+ROUND(+E4+E4*$F$2,2)</f>
        <v>2673.04</v>
      </c>
    </row>
    <row r="5" spans="1:7" x14ac:dyDescent="0.2">
      <c r="A5" s="2">
        <v>613002</v>
      </c>
      <c r="B5" s="2" t="s">
        <v>9</v>
      </c>
      <c r="C5" s="2"/>
      <c r="D5" s="2"/>
      <c r="E5" s="6">
        <v>556.48</v>
      </c>
      <c r="F5" s="52">
        <f>+ROUND(+E5+E5*$F$2,2)</f>
        <v>570.39</v>
      </c>
    </row>
    <row r="14" spans="1:7" x14ac:dyDescent="0.2">
      <c r="F14" s="53"/>
      <c r="G14" s="54" t="s">
        <v>182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F4D54-03BF-4538-8B52-5AB523105648}">
  <dimension ref="A1:E18"/>
  <sheetViews>
    <sheetView workbookViewId="0">
      <selection activeCell="B7" sqref="B7"/>
    </sheetView>
  </sheetViews>
  <sheetFormatPr baseColWidth="10" defaultColWidth="9.1640625" defaultRowHeight="13" x14ac:dyDescent="0.15"/>
  <cols>
    <col min="1" max="1" width="6.1640625" style="2" bestFit="1" customWidth="1"/>
    <col min="2" max="2" width="47" style="2" customWidth="1"/>
    <col min="3" max="16384" width="9.1640625" style="2"/>
  </cols>
  <sheetData>
    <row r="1" spans="1:5" x14ac:dyDescent="0.15">
      <c r="D1" s="39" t="s">
        <v>103</v>
      </c>
      <c r="E1" s="39" t="s">
        <v>103</v>
      </c>
    </row>
    <row r="2" spans="1:5" x14ac:dyDescent="0.15">
      <c r="A2" s="3"/>
      <c r="B2" s="3"/>
      <c r="C2" s="3"/>
      <c r="D2" s="51">
        <v>3.56E-2</v>
      </c>
      <c r="E2" s="51">
        <v>2.5000000000000001E-2</v>
      </c>
    </row>
    <row r="4" spans="1:5" x14ac:dyDescent="0.15">
      <c r="A4" s="2">
        <v>620200</v>
      </c>
      <c r="B4" s="2" t="s">
        <v>27</v>
      </c>
      <c r="C4" s="6">
        <v>21265.41</v>
      </c>
      <c r="D4" s="52">
        <f>+ROUND(+C4+(+C4*$D$2),2)</f>
        <v>22022.46</v>
      </c>
      <c r="E4" s="53"/>
    </row>
    <row r="5" spans="1:5" x14ac:dyDescent="0.15">
      <c r="A5" s="2">
        <v>620201</v>
      </c>
      <c r="B5" s="2" t="s">
        <v>28</v>
      </c>
      <c r="C5" s="6">
        <v>1622.09</v>
      </c>
      <c r="D5" s="52">
        <f t="shared" ref="D5:D8" si="0">+ROUND(+C5+(+C5*$D$2),2)</f>
        <v>1679.84</v>
      </c>
      <c r="E5" s="53"/>
    </row>
    <row r="6" spans="1:5" x14ac:dyDescent="0.15">
      <c r="A6" s="2">
        <v>620210</v>
      </c>
      <c r="B6" s="2" t="s">
        <v>29</v>
      </c>
      <c r="C6" s="6">
        <v>758.4</v>
      </c>
      <c r="D6" s="52">
        <f t="shared" si="0"/>
        <v>785.4</v>
      </c>
      <c r="E6" s="53"/>
    </row>
    <row r="7" spans="1:5" x14ac:dyDescent="0.15">
      <c r="A7" s="2">
        <v>620211</v>
      </c>
      <c r="B7" s="2" t="s">
        <v>30</v>
      </c>
      <c r="C7" s="6">
        <v>174</v>
      </c>
      <c r="D7" s="52">
        <f t="shared" si="0"/>
        <v>180.19</v>
      </c>
      <c r="E7" s="53"/>
    </row>
    <row r="8" spans="1:5" x14ac:dyDescent="0.15">
      <c r="A8" s="2">
        <v>621200</v>
      </c>
      <c r="B8" s="2" t="s">
        <v>31</v>
      </c>
      <c r="C8" s="6">
        <v>6896.9</v>
      </c>
      <c r="D8" s="52">
        <f t="shared" si="0"/>
        <v>7142.43</v>
      </c>
      <c r="E8" s="53"/>
    </row>
    <row r="9" spans="1:5" x14ac:dyDescent="0.15">
      <c r="A9" s="2">
        <v>623000</v>
      </c>
      <c r="B9" s="2" t="s">
        <v>32</v>
      </c>
      <c r="C9" s="6">
        <v>211.52</v>
      </c>
      <c r="D9" s="53"/>
      <c r="E9" s="52">
        <f>+ROUND(+C9+(+C9*$E$2),2)</f>
        <v>216.81</v>
      </c>
    </row>
    <row r="10" spans="1:5" x14ac:dyDescent="0.15">
      <c r="A10" s="2">
        <v>623001</v>
      </c>
      <c r="B10" s="2" t="s">
        <v>33</v>
      </c>
      <c r="C10" s="6">
        <v>178.43</v>
      </c>
      <c r="D10" s="53"/>
      <c r="E10" s="52">
        <f>+ROUND(+C10+(+C10*$E$2),2)</f>
        <v>182.89</v>
      </c>
    </row>
    <row r="11" spans="1:5" x14ac:dyDescent="0.15">
      <c r="C11" s="6"/>
      <c r="D11" s="52"/>
      <c r="E11" s="53"/>
    </row>
    <row r="12" spans="1:5" x14ac:dyDescent="0.15">
      <c r="A12" s="2">
        <v>623010</v>
      </c>
      <c r="B12" s="2" t="s">
        <v>34</v>
      </c>
      <c r="C12" s="6">
        <v>1800.24</v>
      </c>
      <c r="D12" s="52">
        <f>+C12</f>
        <v>1800.24</v>
      </c>
      <c r="E12" s="53"/>
    </row>
    <row r="13" spans="1:5" x14ac:dyDescent="0.15">
      <c r="A13" s="2">
        <v>623100</v>
      </c>
      <c r="B13" s="2" t="s">
        <v>35</v>
      </c>
      <c r="C13" s="6">
        <v>3870.3</v>
      </c>
      <c r="D13" s="52">
        <f t="shared" ref="D13:D16" si="1">+ROUND(+C13+(+C13*$D$2),2)</f>
        <v>4008.08</v>
      </c>
      <c r="E13" s="53"/>
    </row>
    <row r="14" spans="1:5" x14ac:dyDescent="0.15">
      <c r="A14" s="2">
        <v>623101</v>
      </c>
      <c r="B14" s="2" t="s">
        <v>36</v>
      </c>
      <c r="C14" s="6">
        <v>-3831.44</v>
      </c>
      <c r="D14" s="52">
        <f t="shared" si="1"/>
        <v>-3967.84</v>
      </c>
      <c r="E14" s="53"/>
    </row>
    <row r="15" spans="1:5" x14ac:dyDescent="0.15">
      <c r="A15" s="2">
        <v>623111</v>
      </c>
      <c r="B15" s="2" t="s">
        <v>37</v>
      </c>
      <c r="C15" s="6">
        <v>2339.1999999999998</v>
      </c>
      <c r="D15" s="52">
        <f t="shared" si="1"/>
        <v>2422.48</v>
      </c>
      <c r="E15" s="53"/>
    </row>
    <row r="16" spans="1:5" x14ac:dyDescent="0.15">
      <c r="A16" s="2">
        <v>749200</v>
      </c>
      <c r="B16" s="2" t="s">
        <v>47</v>
      </c>
      <c r="C16" s="6">
        <f>'BASIS HISTORISCHE CIJFERS'!$G$97</f>
        <v>-57.21</v>
      </c>
      <c r="D16" s="52">
        <f t="shared" si="1"/>
        <v>-59.25</v>
      </c>
    </row>
    <row r="18" spans="3:4" x14ac:dyDescent="0.15">
      <c r="C18" s="53"/>
      <c r="D18" s="54" t="s">
        <v>182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C618-B4D9-494E-9B8C-4DC3996CADDC}">
  <dimension ref="A1:BF70"/>
  <sheetViews>
    <sheetView topLeftCell="A28" workbookViewId="0">
      <selection activeCell="AE26" sqref="AE26"/>
    </sheetView>
  </sheetViews>
  <sheetFormatPr baseColWidth="10" defaultColWidth="9.1640625" defaultRowHeight="13" x14ac:dyDescent="0.15"/>
  <cols>
    <col min="1" max="1" width="20.33203125" style="39" bestFit="1" customWidth="1"/>
    <col min="2" max="2" width="24.33203125" style="2" bestFit="1" customWidth="1"/>
    <col min="3" max="3" width="3.83203125" style="39" bestFit="1" customWidth="1"/>
    <col min="4" max="4" width="6.5" style="40" bestFit="1" customWidth="1"/>
    <col min="5" max="5" width="9.83203125" style="2" bestFit="1" customWidth="1"/>
    <col min="6" max="6" width="9.1640625" style="2"/>
    <col min="7" max="7" width="0" style="2" hidden="1" customWidth="1"/>
    <col min="8" max="8" width="9.83203125" style="2" bestFit="1" customWidth="1"/>
    <col min="9" max="9" width="10.1640625" style="2" hidden="1" customWidth="1"/>
    <col min="10" max="11" width="0" style="2" hidden="1" customWidth="1"/>
    <col min="12" max="12" width="10.1640625" style="2" hidden="1" customWidth="1"/>
    <col min="13" max="13" width="0" style="2" hidden="1" customWidth="1"/>
    <col min="14" max="14" width="9.1640625" style="2" hidden="1" customWidth="1"/>
    <col min="15" max="29" width="10.1640625" style="2" hidden="1" customWidth="1"/>
    <col min="30" max="45" width="10.1640625" style="2" customWidth="1"/>
    <col min="46" max="48" width="9.83203125" style="2" customWidth="1"/>
    <col min="49" max="52" width="10.1640625" style="2" customWidth="1"/>
    <col min="53" max="58" width="10.1640625" style="2" bestFit="1" customWidth="1"/>
    <col min="59" max="16384" width="9.1640625" style="2"/>
  </cols>
  <sheetData>
    <row r="1" spans="1:58" x14ac:dyDescent="0.15">
      <c r="A1" s="27" t="s">
        <v>105</v>
      </c>
      <c r="B1" s="28" t="s">
        <v>106</v>
      </c>
      <c r="C1" s="28" t="s">
        <v>107</v>
      </c>
      <c r="D1" s="29" t="s">
        <v>108</v>
      </c>
      <c r="E1" s="28" t="s">
        <v>109</v>
      </c>
      <c r="F1" s="30" t="s">
        <v>110</v>
      </c>
      <c r="G1" s="30" t="s">
        <v>111</v>
      </c>
      <c r="H1" s="28" t="s">
        <v>109</v>
      </c>
      <c r="I1" s="28" t="s">
        <v>112</v>
      </c>
      <c r="J1" s="30" t="s">
        <v>110</v>
      </c>
      <c r="K1" s="30" t="s">
        <v>111</v>
      </c>
      <c r="L1" s="28" t="s">
        <v>112</v>
      </c>
      <c r="M1" s="30" t="s">
        <v>110</v>
      </c>
      <c r="N1" s="30" t="s">
        <v>111</v>
      </c>
      <c r="O1" s="28" t="s">
        <v>112</v>
      </c>
      <c r="P1" s="30" t="s">
        <v>110</v>
      </c>
      <c r="Q1" s="30" t="s">
        <v>111</v>
      </c>
      <c r="R1" s="28" t="s">
        <v>112</v>
      </c>
      <c r="S1" s="30" t="s">
        <v>110</v>
      </c>
      <c r="T1" s="30" t="s">
        <v>111</v>
      </c>
      <c r="U1" s="28" t="s">
        <v>112</v>
      </c>
      <c r="V1" s="30" t="s">
        <v>110</v>
      </c>
      <c r="W1" s="30" t="s">
        <v>111</v>
      </c>
      <c r="X1" s="28" t="s">
        <v>112</v>
      </c>
      <c r="Y1" s="30" t="s">
        <v>110</v>
      </c>
      <c r="Z1" s="30" t="s">
        <v>111</v>
      </c>
      <c r="AA1" s="28" t="s">
        <v>112</v>
      </c>
      <c r="AB1" s="30" t="s">
        <v>110</v>
      </c>
      <c r="AC1" s="30" t="s">
        <v>111</v>
      </c>
      <c r="AD1" s="28" t="s">
        <v>112</v>
      </c>
      <c r="AE1" s="30" t="s">
        <v>110</v>
      </c>
      <c r="AF1" s="30" t="s">
        <v>111</v>
      </c>
      <c r="AG1" s="28" t="s">
        <v>112</v>
      </c>
      <c r="AH1" s="30" t="s">
        <v>110</v>
      </c>
      <c r="AI1" s="30" t="s">
        <v>111</v>
      </c>
      <c r="AJ1" s="28" t="s">
        <v>112</v>
      </c>
      <c r="AK1" s="30" t="s">
        <v>110</v>
      </c>
      <c r="AL1" s="30" t="s">
        <v>111</v>
      </c>
      <c r="AM1" s="28" t="s">
        <v>112</v>
      </c>
      <c r="AN1" s="30" t="s">
        <v>110</v>
      </c>
      <c r="AO1" s="30" t="s">
        <v>111</v>
      </c>
      <c r="AP1" s="28" t="s">
        <v>112</v>
      </c>
      <c r="AQ1" s="30" t="s">
        <v>110</v>
      </c>
      <c r="AR1" s="30" t="s">
        <v>111</v>
      </c>
      <c r="AS1" s="28" t="s">
        <v>112</v>
      </c>
      <c r="AT1" s="28" t="s">
        <v>113</v>
      </c>
      <c r="AU1" s="28" t="s">
        <v>113</v>
      </c>
      <c r="AV1" s="28" t="s">
        <v>113</v>
      </c>
      <c r="AW1" s="28" t="s">
        <v>113</v>
      </c>
      <c r="AX1" s="28" t="s">
        <v>113</v>
      </c>
      <c r="AY1" s="28" t="s">
        <v>113</v>
      </c>
      <c r="AZ1" s="28" t="s">
        <v>113</v>
      </c>
      <c r="BA1" s="28" t="s">
        <v>113</v>
      </c>
      <c r="BB1" s="28" t="s">
        <v>113</v>
      </c>
      <c r="BC1" s="28" t="s">
        <v>113</v>
      </c>
      <c r="BD1" s="28" t="s">
        <v>113</v>
      </c>
      <c r="BE1" s="28" t="s">
        <v>113</v>
      </c>
      <c r="BF1" s="28" t="s">
        <v>113</v>
      </c>
    </row>
    <row r="2" spans="1:58" x14ac:dyDescent="0.15">
      <c r="A2" s="31"/>
      <c r="B2" s="32"/>
      <c r="C2" s="32"/>
      <c r="D2" s="33"/>
      <c r="E2" s="32" t="s">
        <v>114</v>
      </c>
      <c r="F2" s="32"/>
      <c r="G2" s="32"/>
      <c r="H2" s="32" t="s">
        <v>115</v>
      </c>
      <c r="I2" s="32" t="s">
        <v>116</v>
      </c>
      <c r="J2" s="32">
        <v>2014</v>
      </c>
      <c r="K2" s="32">
        <v>2014</v>
      </c>
      <c r="L2" s="32" t="s">
        <v>116</v>
      </c>
      <c r="M2" s="32">
        <v>2015</v>
      </c>
      <c r="N2" s="32">
        <v>2015</v>
      </c>
      <c r="O2" s="32" t="s">
        <v>116</v>
      </c>
      <c r="P2" s="32">
        <v>2016</v>
      </c>
      <c r="Q2" s="32">
        <v>2016</v>
      </c>
      <c r="R2" s="32" t="s">
        <v>116</v>
      </c>
      <c r="S2" s="32">
        <v>2017</v>
      </c>
      <c r="T2" s="32">
        <v>2017</v>
      </c>
      <c r="U2" s="32" t="s">
        <v>116</v>
      </c>
      <c r="V2" s="32">
        <v>2018</v>
      </c>
      <c r="W2" s="32">
        <v>2018</v>
      </c>
      <c r="X2" s="32" t="s">
        <v>116</v>
      </c>
      <c r="Y2" s="32">
        <v>2019</v>
      </c>
      <c r="Z2" s="32">
        <v>2019</v>
      </c>
      <c r="AA2" s="32" t="s">
        <v>116</v>
      </c>
      <c r="AB2" s="32">
        <v>2020</v>
      </c>
      <c r="AC2" s="32">
        <v>2020</v>
      </c>
      <c r="AD2" s="32" t="s">
        <v>116</v>
      </c>
      <c r="AE2" s="32">
        <v>2021</v>
      </c>
      <c r="AF2" s="32">
        <v>2021</v>
      </c>
      <c r="AG2" s="32" t="s">
        <v>116</v>
      </c>
      <c r="AH2" s="32">
        <v>2022</v>
      </c>
      <c r="AI2" s="32">
        <v>2022</v>
      </c>
      <c r="AJ2" s="32" t="s">
        <v>116</v>
      </c>
      <c r="AK2" s="32">
        <v>2023</v>
      </c>
      <c r="AL2" s="32">
        <v>2023</v>
      </c>
      <c r="AM2" s="32" t="s">
        <v>116</v>
      </c>
      <c r="AN2" s="32">
        <v>2024</v>
      </c>
      <c r="AO2" s="32">
        <v>2024</v>
      </c>
      <c r="AP2" s="32" t="s">
        <v>116</v>
      </c>
      <c r="AQ2" s="32">
        <v>2025</v>
      </c>
      <c r="AR2" s="32">
        <v>2025</v>
      </c>
      <c r="AS2" s="32" t="s">
        <v>116</v>
      </c>
      <c r="AT2" s="32" t="s">
        <v>117</v>
      </c>
      <c r="AU2" s="32" t="s">
        <v>117</v>
      </c>
      <c r="AV2" s="32" t="s">
        <v>117</v>
      </c>
      <c r="AW2" s="32" t="s">
        <v>117</v>
      </c>
      <c r="AX2" s="32" t="s">
        <v>117</v>
      </c>
      <c r="AY2" s="32" t="s">
        <v>117</v>
      </c>
      <c r="AZ2" s="32" t="s">
        <v>117</v>
      </c>
      <c r="BA2" s="32" t="s">
        <v>117</v>
      </c>
      <c r="BB2" s="32" t="s">
        <v>117</v>
      </c>
      <c r="BC2" s="32" t="s">
        <v>117</v>
      </c>
      <c r="BD2" s="32" t="s">
        <v>117</v>
      </c>
      <c r="BE2" s="32" t="s">
        <v>117</v>
      </c>
      <c r="BF2" s="32" t="s">
        <v>117</v>
      </c>
    </row>
    <row r="3" spans="1:58" x14ac:dyDescent="0.15">
      <c r="A3" s="34"/>
      <c r="B3" s="35"/>
      <c r="C3" s="35"/>
      <c r="D3" s="36"/>
      <c r="E3" s="13"/>
      <c r="F3" s="13"/>
      <c r="G3" s="13"/>
      <c r="H3" s="13"/>
      <c r="I3" s="37">
        <v>41639</v>
      </c>
      <c r="J3" s="13"/>
      <c r="K3" s="13"/>
      <c r="L3" s="37">
        <v>42004</v>
      </c>
      <c r="M3" s="13"/>
      <c r="N3" s="13"/>
      <c r="O3" s="37">
        <v>42369</v>
      </c>
      <c r="P3" s="13"/>
      <c r="Q3" s="13"/>
      <c r="R3" s="37">
        <v>42735</v>
      </c>
      <c r="S3" s="13"/>
      <c r="T3" s="13"/>
      <c r="U3" s="37">
        <v>43100</v>
      </c>
      <c r="V3" s="13"/>
      <c r="W3" s="13"/>
      <c r="X3" s="37">
        <v>43465</v>
      </c>
      <c r="Y3" s="13"/>
      <c r="Z3" s="13"/>
      <c r="AA3" s="37">
        <v>43830</v>
      </c>
      <c r="AB3" s="13"/>
      <c r="AC3" s="13"/>
      <c r="AD3" s="37">
        <v>44196</v>
      </c>
      <c r="AE3" s="13"/>
      <c r="AF3" s="13"/>
      <c r="AG3" s="37">
        <v>44561</v>
      </c>
      <c r="AH3" s="13"/>
      <c r="AI3" s="13"/>
      <c r="AJ3" s="37">
        <v>44926</v>
      </c>
      <c r="AK3" s="13"/>
      <c r="AL3" s="13"/>
      <c r="AM3" s="37">
        <v>45291</v>
      </c>
      <c r="AN3" s="13"/>
      <c r="AO3" s="13"/>
      <c r="AP3" s="37">
        <v>45657</v>
      </c>
      <c r="AQ3" s="13"/>
      <c r="AR3" s="13"/>
      <c r="AS3" s="37">
        <v>46022</v>
      </c>
      <c r="AT3" s="38">
        <v>41639</v>
      </c>
      <c r="AU3" s="38">
        <v>42004</v>
      </c>
      <c r="AV3" s="38">
        <v>42369</v>
      </c>
      <c r="AW3" s="38">
        <v>42735</v>
      </c>
      <c r="AX3" s="38">
        <v>43100</v>
      </c>
      <c r="AY3" s="38">
        <v>43465</v>
      </c>
      <c r="AZ3" s="38">
        <v>43830</v>
      </c>
      <c r="BA3" s="38">
        <v>44196</v>
      </c>
      <c r="BB3" s="38">
        <v>44561</v>
      </c>
      <c r="BC3" s="38">
        <v>44926</v>
      </c>
      <c r="BD3" s="38">
        <v>45291</v>
      </c>
      <c r="BE3" s="38">
        <v>45657</v>
      </c>
      <c r="BF3" s="38">
        <v>46022</v>
      </c>
    </row>
    <row r="4" spans="1:58" x14ac:dyDescent="0.15">
      <c r="A4" s="39" t="s">
        <v>118</v>
      </c>
      <c r="B4" s="2" t="s">
        <v>119</v>
      </c>
      <c r="C4" s="39" t="s">
        <v>120</v>
      </c>
      <c r="D4" s="40">
        <v>0.2</v>
      </c>
      <c r="E4" s="6">
        <v>3932.5</v>
      </c>
      <c r="F4" s="6"/>
      <c r="G4" s="6"/>
      <c r="H4" s="6">
        <f>+E4+F4+G4</f>
        <v>3932.5</v>
      </c>
      <c r="I4" s="6">
        <v>3932.5</v>
      </c>
      <c r="J4" s="6"/>
      <c r="K4" s="6"/>
      <c r="L4" s="6">
        <f>+I4+J4+K4</f>
        <v>3932.5</v>
      </c>
      <c r="M4" s="6"/>
      <c r="N4" s="6"/>
      <c r="O4" s="6">
        <f>+L4+M4+N4</f>
        <v>3932.5</v>
      </c>
      <c r="P4" s="6"/>
      <c r="Q4" s="6"/>
      <c r="R4" s="6">
        <f>+O4+P4+Q4</f>
        <v>3932.5</v>
      </c>
      <c r="S4" s="6"/>
      <c r="T4" s="6"/>
      <c r="U4" s="6">
        <f>+R4+S4+T4</f>
        <v>3932.5</v>
      </c>
      <c r="V4" s="6"/>
      <c r="W4" s="6"/>
      <c r="X4" s="6">
        <f>+U4+V4+W4</f>
        <v>3932.5</v>
      </c>
      <c r="Y4" s="6"/>
      <c r="Z4" s="6"/>
      <c r="AA4" s="6">
        <f>+X4+Y4+Z4</f>
        <v>3932.5</v>
      </c>
      <c r="AB4" s="6"/>
      <c r="AC4" s="6"/>
      <c r="AD4" s="6">
        <f>+AA4+AB4+AC4</f>
        <v>3932.5</v>
      </c>
      <c r="AE4" s="6"/>
      <c r="AF4" s="6"/>
      <c r="AG4" s="6">
        <f>+AD4+AE4+AF4</f>
        <v>3932.5</v>
      </c>
      <c r="AH4" s="6"/>
      <c r="AI4" s="6"/>
      <c r="AJ4" s="6">
        <f>+AG4+AH4+AI4</f>
        <v>3932.5</v>
      </c>
      <c r="AK4" s="6"/>
      <c r="AL4" s="6"/>
      <c r="AM4" s="6">
        <f>+AJ4+AK4+AL4</f>
        <v>3932.5</v>
      </c>
      <c r="AN4" s="6"/>
      <c r="AO4" s="6"/>
      <c r="AP4" s="6">
        <f>+AM4+AN4+AO4</f>
        <v>3932.5</v>
      </c>
      <c r="AQ4" s="6"/>
      <c r="AR4" s="6"/>
      <c r="AS4" s="6">
        <f>+AP4+AQ4+AR4</f>
        <v>3932.5</v>
      </c>
      <c r="AT4" s="6">
        <f t="shared" ref="AT4:AT13" si="0">+H4-I4</f>
        <v>0</v>
      </c>
      <c r="AU4" s="6">
        <f t="shared" ref="AU4:AU13" si="1">+H4-L4</f>
        <v>0</v>
      </c>
      <c r="AV4" s="6">
        <f t="shared" ref="AV4:AV13" si="2">+H4-O4</f>
        <v>0</v>
      </c>
      <c r="AW4" s="6">
        <f t="shared" ref="AW4:AW13" si="3">+H4-R4</f>
        <v>0</v>
      </c>
      <c r="AX4" s="6">
        <f t="shared" ref="AX4:AX13" si="4">+H4-U4</f>
        <v>0</v>
      </c>
      <c r="AY4" s="6">
        <f t="shared" ref="AY4:AY13" si="5">+H4-X4</f>
        <v>0</v>
      </c>
      <c r="AZ4" s="6">
        <f>+H4-AA4</f>
        <v>0</v>
      </c>
      <c r="BA4" s="6">
        <f>+H4-AD4</f>
        <v>0</v>
      </c>
      <c r="BB4" s="6">
        <f>+$H4-AG4</f>
        <v>0</v>
      </c>
      <c r="BC4" s="6">
        <f>+$H4-AJ4</f>
        <v>0</v>
      </c>
      <c r="BD4" s="6">
        <f>+$H4-AM4</f>
        <v>0</v>
      </c>
      <c r="BE4" s="6">
        <f>+$H4-AP4</f>
        <v>0</v>
      </c>
      <c r="BF4" s="6">
        <f>+$H4-AS4</f>
        <v>0</v>
      </c>
    </row>
    <row r="5" spans="1:58" x14ac:dyDescent="0.15">
      <c r="A5" s="39" t="s">
        <v>121</v>
      </c>
      <c r="B5" s="2" t="s">
        <v>122</v>
      </c>
      <c r="C5" s="39" t="s">
        <v>120</v>
      </c>
      <c r="D5" s="40">
        <v>0.2</v>
      </c>
      <c r="E5" s="6">
        <v>11067.5</v>
      </c>
      <c r="F5" s="6"/>
      <c r="G5" s="6"/>
      <c r="H5" s="6">
        <f t="shared" ref="H5:I13" si="6">+E5+F5+G5</f>
        <v>11067.5</v>
      </c>
      <c r="I5" s="6">
        <f t="shared" si="6"/>
        <v>11067.5</v>
      </c>
      <c r="J5" s="6"/>
      <c r="K5" s="6"/>
      <c r="L5" s="6">
        <f t="shared" ref="L5:L13" si="7">+I5+J5+K5</f>
        <v>11067.5</v>
      </c>
      <c r="M5" s="6"/>
      <c r="N5" s="6"/>
      <c r="O5" s="6">
        <f t="shared" ref="O5:O13" si="8">+L5+M5+N5</f>
        <v>11067.5</v>
      </c>
      <c r="P5" s="6"/>
      <c r="Q5" s="6"/>
      <c r="R5" s="6">
        <f t="shared" ref="R5:R13" si="9">+O5+P5+Q5</f>
        <v>11067.5</v>
      </c>
      <c r="S5" s="6"/>
      <c r="T5" s="6"/>
      <c r="U5" s="6">
        <f t="shared" ref="U5:U13" si="10">+R5+S5+T5</f>
        <v>11067.5</v>
      </c>
      <c r="V5" s="6"/>
      <c r="W5" s="6"/>
      <c r="X5" s="6">
        <f t="shared" ref="X5:X13" si="11">+U5+V5+W5</f>
        <v>11067.5</v>
      </c>
      <c r="Y5" s="6"/>
      <c r="Z5" s="6"/>
      <c r="AA5" s="6">
        <f t="shared" ref="AA5:AA13" si="12">+X5+Y5+Z5</f>
        <v>11067.5</v>
      </c>
      <c r="AB5" s="6"/>
      <c r="AC5" s="6"/>
      <c r="AD5" s="6">
        <f t="shared" ref="AD5:AD13" si="13">+AA5+AB5+AC5</f>
        <v>11067.5</v>
      </c>
      <c r="AE5" s="6"/>
      <c r="AF5" s="6"/>
      <c r="AG5" s="6">
        <f t="shared" ref="AG5:AG13" si="14">+AD5+AE5+AF5</f>
        <v>11067.5</v>
      </c>
      <c r="AH5" s="6"/>
      <c r="AI5" s="6"/>
      <c r="AJ5" s="6">
        <f t="shared" ref="AJ5:AJ13" si="15">+AG5+AH5+AI5</f>
        <v>11067.5</v>
      </c>
      <c r="AK5" s="6"/>
      <c r="AL5" s="6"/>
      <c r="AM5" s="6">
        <f t="shared" ref="AM5:AM13" si="16">+AJ5+AK5+AL5</f>
        <v>11067.5</v>
      </c>
      <c r="AN5" s="6"/>
      <c r="AO5" s="6"/>
      <c r="AP5" s="6">
        <f t="shared" ref="AP5:AP13" si="17">+AM5+AN5+AO5</f>
        <v>11067.5</v>
      </c>
      <c r="AQ5" s="6"/>
      <c r="AR5" s="6"/>
      <c r="AS5" s="6">
        <f t="shared" ref="AS5:AS13" si="18">+AP5+AQ5+AR5</f>
        <v>11067.5</v>
      </c>
      <c r="AT5" s="6">
        <f t="shared" si="0"/>
        <v>0</v>
      </c>
      <c r="AU5" s="6">
        <f t="shared" si="1"/>
        <v>0</v>
      </c>
      <c r="AV5" s="6">
        <f t="shared" si="2"/>
        <v>0</v>
      </c>
      <c r="AW5" s="6">
        <f t="shared" si="3"/>
        <v>0</v>
      </c>
      <c r="AX5" s="6">
        <f t="shared" si="4"/>
        <v>0</v>
      </c>
      <c r="AY5" s="6">
        <f t="shared" si="5"/>
        <v>0</v>
      </c>
      <c r="AZ5" s="6">
        <f t="shared" ref="AZ5:AZ13" si="19">+H5-AA5</f>
        <v>0</v>
      </c>
      <c r="BA5" s="6">
        <f t="shared" ref="BA5:BA13" si="20">+H5-AD5</f>
        <v>0</v>
      </c>
      <c r="BB5" s="6">
        <f t="shared" ref="BB5:BB13" si="21">+H5-AG5</f>
        <v>0</v>
      </c>
      <c r="BC5" s="6">
        <f t="shared" ref="BC5:BC13" si="22">+$H5-AJ5</f>
        <v>0</v>
      </c>
      <c r="BD5" s="6">
        <f t="shared" ref="BD5:BD13" si="23">+$H5-AM5</f>
        <v>0</v>
      </c>
      <c r="BE5" s="6">
        <f t="shared" ref="BE5:BE13" si="24">+$H5-AP5</f>
        <v>0</v>
      </c>
      <c r="BF5" s="6">
        <f t="shared" ref="BF5:BF13" si="25">+$H5-AS5</f>
        <v>0</v>
      </c>
    </row>
    <row r="6" spans="1:58" x14ac:dyDescent="0.15">
      <c r="A6" s="39" t="s">
        <v>123</v>
      </c>
      <c r="B6" s="2" t="s">
        <v>124</v>
      </c>
      <c r="C6" s="39" t="s">
        <v>120</v>
      </c>
      <c r="D6" s="40">
        <v>0.2</v>
      </c>
      <c r="E6" s="6">
        <v>3930.45</v>
      </c>
      <c r="F6" s="6"/>
      <c r="G6" s="6"/>
      <c r="H6" s="6">
        <f t="shared" si="6"/>
        <v>3930.45</v>
      </c>
      <c r="I6" s="6">
        <f t="shared" si="6"/>
        <v>3930.45</v>
      </c>
      <c r="J6" s="6"/>
      <c r="K6" s="6"/>
      <c r="L6" s="6">
        <f t="shared" si="7"/>
        <v>3930.45</v>
      </c>
      <c r="M6" s="6"/>
      <c r="N6" s="6"/>
      <c r="O6" s="6">
        <f t="shared" si="8"/>
        <v>3930.45</v>
      </c>
      <c r="P6" s="6"/>
      <c r="Q6" s="6"/>
      <c r="R6" s="6">
        <f t="shared" si="9"/>
        <v>3930.45</v>
      </c>
      <c r="S6" s="6"/>
      <c r="T6" s="6"/>
      <c r="U6" s="6">
        <f t="shared" si="10"/>
        <v>3930.45</v>
      </c>
      <c r="V6" s="6"/>
      <c r="W6" s="6"/>
      <c r="X6" s="6">
        <f t="shared" si="11"/>
        <v>3930.45</v>
      </c>
      <c r="Y6" s="6"/>
      <c r="Z6" s="6"/>
      <c r="AA6" s="6">
        <f t="shared" si="12"/>
        <v>3930.45</v>
      </c>
      <c r="AB6" s="6"/>
      <c r="AC6" s="6"/>
      <c r="AD6" s="6">
        <f t="shared" si="13"/>
        <v>3930.45</v>
      </c>
      <c r="AE6" s="6"/>
      <c r="AF6" s="6"/>
      <c r="AG6" s="6">
        <f t="shared" si="14"/>
        <v>3930.45</v>
      </c>
      <c r="AH6" s="6"/>
      <c r="AI6" s="6"/>
      <c r="AJ6" s="6">
        <f t="shared" si="15"/>
        <v>3930.45</v>
      </c>
      <c r="AK6" s="6"/>
      <c r="AL6" s="6"/>
      <c r="AM6" s="6">
        <f t="shared" si="16"/>
        <v>3930.45</v>
      </c>
      <c r="AN6" s="6"/>
      <c r="AO6" s="6"/>
      <c r="AP6" s="6">
        <f t="shared" si="17"/>
        <v>3930.45</v>
      </c>
      <c r="AQ6" s="6"/>
      <c r="AR6" s="6"/>
      <c r="AS6" s="6">
        <f t="shared" si="18"/>
        <v>3930.45</v>
      </c>
      <c r="AT6" s="6">
        <f t="shared" si="0"/>
        <v>0</v>
      </c>
      <c r="AU6" s="6">
        <f t="shared" si="1"/>
        <v>0</v>
      </c>
      <c r="AV6" s="6">
        <f t="shared" si="2"/>
        <v>0</v>
      </c>
      <c r="AW6" s="6">
        <f t="shared" si="3"/>
        <v>0</v>
      </c>
      <c r="AX6" s="6">
        <f t="shared" si="4"/>
        <v>0</v>
      </c>
      <c r="AY6" s="6">
        <f t="shared" si="5"/>
        <v>0</v>
      </c>
      <c r="AZ6" s="6">
        <f t="shared" si="19"/>
        <v>0</v>
      </c>
      <c r="BA6" s="6">
        <f t="shared" si="20"/>
        <v>0</v>
      </c>
      <c r="BB6" s="6">
        <f t="shared" si="21"/>
        <v>0</v>
      </c>
      <c r="BC6" s="6">
        <f t="shared" si="22"/>
        <v>0</v>
      </c>
      <c r="BD6" s="6">
        <f t="shared" si="23"/>
        <v>0</v>
      </c>
      <c r="BE6" s="6">
        <f t="shared" si="24"/>
        <v>0</v>
      </c>
      <c r="BF6" s="6">
        <f t="shared" si="25"/>
        <v>0</v>
      </c>
    </row>
    <row r="7" spans="1:58" x14ac:dyDescent="0.15">
      <c r="A7" s="39" t="s">
        <v>123</v>
      </c>
      <c r="B7" s="2" t="s">
        <v>125</v>
      </c>
      <c r="C7" s="39" t="s">
        <v>120</v>
      </c>
      <c r="D7" s="40">
        <v>0.2</v>
      </c>
      <c r="E7" s="6">
        <v>3630</v>
      </c>
      <c r="F7" s="6"/>
      <c r="G7" s="6"/>
      <c r="H7" s="6">
        <f t="shared" si="6"/>
        <v>3630</v>
      </c>
      <c r="I7" s="6">
        <f t="shared" si="6"/>
        <v>3630</v>
      </c>
      <c r="J7" s="6"/>
      <c r="K7" s="6"/>
      <c r="L7" s="6">
        <f t="shared" si="7"/>
        <v>3630</v>
      </c>
      <c r="M7" s="6"/>
      <c r="N7" s="6"/>
      <c r="O7" s="6">
        <f t="shared" si="8"/>
        <v>3630</v>
      </c>
      <c r="P7" s="6"/>
      <c r="Q7" s="6"/>
      <c r="R7" s="6">
        <f t="shared" si="9"/>
        <v>3630</v>
      </c>
      <c r="S7" s="6"/>
      <c r="T7" s="6"/>
      <c r="U7" s="6">
        <f t="shared" si="10"/>
        <v>3630</v>
      </c>
      <c r="V7" s="6"/>
      <c r="W7" s="6"/>
      <c r="X7" s="6">
        <f t="shared" si="11"/>
        <v>3630</v>
      </c>
      <c r="Y7" s="6"/>
      <c r="Z7" s="6"/>
      <c r="AA7" s="6">
        <f t="shared" si="12"/>
        <v>3630</v>
      </c>
      <c r="AB7" s="6"/>
      <c r="AC7" s="6"/>
      <c r="AD7" s="6">
        <f t="shared" si="13"/>
        <v>3630</v>
      </c>
      <c r="AE7" s="6"/>
      <c r="AF7" s="6"/>
      <c r="AG7" s="6">
        <f t="shared" si="14"/>
        <v>3630</v>
      </c>
      <c r="AH7" s="6"/>
      <c r="AI7" s="6"/>
      <c r="AJ7" s="6">
        <f t="shared" si="15"/>
        <v>3630</v>
      </c>
      <c r="AK7" s="6"/>
      <c r="AL7" s="6"/>
      <c r="AM7" s="6">
        <f t="shared" si="16"/>
        <v>3630</v>
      </c>
      <c r="AN7" s="6"/>
      <c r="AO7" s="6"/>
      <c r="AP7" s="6">
        <f t="shared" si="17"/>
        <v>3630</v>
      </c>
      <c r="AQ7" s="6"/>
      <c r="AR7" s="6"/>
      <c r="AS7" s="6">
        <f t="shared" si="18"/>
        <v>3630</v>
      </c>
      <c r="AT7" s="6">
        <f t="shared" si="0"/>
        <v>0</v>
      </c>
      <c r="AU7" s="6">
        <f t="shared" si="1"/>
        <v>0</v>
      </c>
      <c r="AV7" s="6">
        <f t="shared" si="2"/>
        <v>0</v>
      </c>
      <c r="AW7" s="6">
        <f t="shared" si="3"/>
        <v>0</v>
      </c>
      <c r="AX7" s="6">
        <f t="shared" si="4"/>
        <v>0</v>
      </c>
      <c r="AY7" s="6">
        <f t="shared" si="5"/>
        <v>0</v>
      </c>
      <c r="AZ7" s="6">
        <f t="shared" si="19"/>
        <v>0</v>
      </c>
      <c r="BA7" s="6">
        <f t="shared" si="20"/>
        <v>0</v>
      </c>
      <c r="BB7" s="6">
        <f t="shared" si="21"/>
        <v>0</v>
      </c>
      <c r="BC7" s="6">
        <f t="shared" si="22"/>
        <v>0</v>
      </c>
      <c r="BD7" s="6">
        <f t="shared" si="23"/>
        <v>0</v>
      </c>
      <c r="BE7" s="6">
        <f t="shared" si="24"/>
        <v>0</v>
      </c>
      <c r="BF7" s="6">
        <f t="shared" si="25"/>
        <v>0</v>
      </c>
    </row>
    <row r="8" spans="1:58" x14ac:dyDescent="0.15">
      <c r="A8" s="39" t="s">
        <v>126</v>
      </c>
      <c r="B8" s="2" t="s">
        <v>127</v>
      </c>
      <c r="C8" s="39" t="s">
        <v>120</v>
      </c>
      <c r="D8" s="40">
        <v>0.2</v>
      </c>
      <c r="E8" s="6">
        <v>3630</v>
      </c>
      <c r="F8" s="6"/>
      <c r="G8" s="6"/>
      <c r="H8" s="6">
        <f t="shared" si="6"/>
        <v>3630</v>
      </c>
      <c r="I8" s="6">
        <f t="shared" si="6"/>
        <v>3630</v>
      </c>
      <c r="J8" s="6"/>
      <c r="K8" s="6"/>
      <c r="L8" s="6">
        <f t="shared" si="7"/>
        <v>3630</v>
      </c>
      <c r="M8" s="6"/>
      <c r="N8" s="6"/>
      <c r="O8" s="6">
        <f t="shared" si="8"/>
        <v>3630</v>
      </c>
      <c r="P8" s="6"/>
      <c r="Q8" s="6"/>
      <c r="R8" s="6">
        <f t="shared" si="9"/>
        <v>3630</v>
      </c>
      <c r="S8" s="6"/>
      <c r="T8" s="6"/>
      <c r="U8" s="6">
        <f t="shared" si="10"/>
        <v>3630</v>
      </c>
      <c r="V8" s="6"/>
      <c r="W8" s="6"/>
      <c r="X8" s="6">
        <f t="shared" si="11"/>
        <v>3630</v>
      </c>
      <c r="Y8" s="6"/>
      <c r="Z8" s="6"/>
      <c r="AA8" s="6">
        <f t="shared" si="12"/>
        <v>3630</v>
      </c>
      <c r="AB8" s="6"/>
      <c r="AC8" s="6"/>
      <c r="AD8" s="6">
        <f t="shared" si="13"/>
        <v>3630</v>
      </c>
      <c r="AE8" s="6"/>
      <c r="AF8" s="6"/>
      <c r="AG8" s="6">
        <f t="shared" si="14"/>
        <v>3630</v>
      </c>
      <c r="AH8" s="6"/>
      <c r="AI8" s="6"/>
      <c r="AJ8" s="6">
        <f t="shared" si="15"/>
        <v>3630</v>
      </c>
      <c r="AK8" s="6"/>
      <c r="AL8" s="6"/>
      <c r="AM8" s="6">
        <f t="shared" si="16"/>
        <v>3630</v>
      </c>
      <c r="AN8" s="6"/>
      <c r="AO8" s="6"/>
      <c r="AP8" s="6">
        <f t="shared" si="17"/>
        <v>3630</v>
      </c>
      <c r="AQ8" s="6"/>
      <c r="AR8" s="6"/>
      <c r="AS8" s="6">
        <f t="shared" si="18"/>
        <v>3630</v>
      </c>
      <c r="AT8" s="6">
        <f t="shared" si="0"/>
        <v>0</v>
      </c>
      <c r="AU8" s="6">
        <f t="shared" si="1"/>
        <v>0</v>
      </c>
      <c r="AV8" s="6">
        <f t="shared" si="2"/>
        <v>0</v>
      </c>
      <c r="AW8" s="6">
        <f t="shared" si="3"/>
        <v>0</v>
      </c>
      <c r="AX8" s="6">
        <f t="shared" si="4"/>
        <v>0</v>
      </c>
      <c r="AY8" s="6">
        <f t="shared" si="5"/>
        <v>0</v>
      </c>
      <c r="AZ8" s="6">
        <f t="shared" si="19"/>
        <v>0</v>
      </c>
      <c r="BA8" s="6">
        <f t="shared" si="20"/>
        <v>0</v>
      </c>
      <c r="BB8" s="6">
        <f t="shared" si="21"/>
        <v>0</v>
      </c>
      <c r="BC8" s="6">
        <f t="shared" si="22"/>
        <v>0</v>
      </c>
      <c r="BD8" s="6">
        <f t="shared" si="23"/>
        <v>0</v>
      </c>
      <c r="BE8" s="6">
        <f t="shared" si="24"/>
        <v>0</v>
      </c>
      <c r="BF8" s="6">
        <f t="shared" si="25"/>
        <v>0</v>
      </c>
    </row>
    <row r="9" spans="1:58" x14ac:dyDescent="0.15">
      <c r="A9" s="39" t="s">
        <v>128</v>
      </c>
      <c r="B9" s="2" t="s">
        <v>129</v>
      </c>
      <c r="C9" s="39" t="s">
        <v>120</v>
      </c>
      <c r="D9" s="40">
        <v>0.2</v>
      </c>
      <c r="E9" s="6">
        <v>3630</v>
      </c>
      <c r="F9" s="6"/>
      <c r="G9" s="6"/>
      <c r="H9" s="6">
        <f t="shared" si="6"/>
        <v>3630</v>
      </c>
      <c r="I9" s="6">
        <f t="shared" si="6"/>
        <v>3630</v>
      </c>
      <c r="J9" s="6"/>
      <c r="K9" s="6"/>
      <c r="L9" s="6">
        <f t="shared" si="7"/>
        <v>3630</v>
      </c>
      <c r="M9" s="6"/>
      <c r="N9" s="6"/>
      <c r="O9" s="6">
        <f t="shared" si="8"/>
        <v>3630</v>
      </c>
      <c r="P9" s="6"/>
      <c r="Q9" s="6"/>
      <c r="R9" s="6">
        <f t="shared" si="9"/>
        <v>3630</v>
      </c>
      <c r="S9" s="6"/>
      <c r="T9" s="6"/>
      <c r="U9" s="6">
        <f t="shared" si="10"/>
        <v>3630</v>
      </c>
      <c r="V9" s="6"/>
      <c r="W9" s="6"/>
      <c r="X9" s="6">
        <f t="shared" si="11"/>
        <v>3630</v>
      </c>
      <c r="Y9" s="6"/>
      <c r="Z9" s="6"/>
      <c r="AA9" s="6">
        <f t="shared" si="12"/>
        <v>3630</v>
      </c>
      <c r="AB9" s="6"/>
      <c r="AC9" s="6"/>
      <c r="AD9" s="6">
        <f t="shared" si="13"/>
        <v>3630</v>
      </c>
      <c r="AE9" s="6"/>
      <c r="AF9" s="6"/>
      <c r="AG9" s="6">
        <f t="shared" si="14"/>
        <v>3630</v>
      </c>
      <c r="AH9" s="6"/>
      <c r="AI9" s="6"/>
      <c r="AJ9" s="6">
        <f t="shared" si="15"/>
        <v>3630</v>
      </c>
      <c r="AK9" s="6"/>
      <c r="AL9" s="6"/>
      <c r="AM9" s="6">
        <f t="shared" si="16"/>
        <v>3630</v>
      </c>
      <c r="AN9" s="6"/>
      <c r="AO9" s="6"/>
      <c r="AP9" s="6">
        <f t="shared" si="17"/>
        <v>3630</v>
      </c>
      <c r="AQ9" s="6"/>
      <c r="AR9" s="6"/>
      <c r="AS9" s="6">
        <f t="shared" si="18"/>
        <v>3630</v>
      </c>
      <c r="AT9" s="6">
        <f t="shared" si="0"/>
        <v>0</v>
      </c>
      <c r="AU9" s="6">
        <f t="shared" si="1"/>
        <v>0</v>
      </c>
      <c r="AV9" s="6">
        <f t="shared" si="2"/>
        <v>0</v>
      </c>
      <c r="AW9" s="6">
        <f t="shared" si="3"/>
        <v>0</v>
      </c>
      <c r="AX9" s="6">
        <f t="shared" si="4"/>
        <v>0</v>
      </c>
      <c r="AY9" s="6">
        <f t="shared" si="5"/>
        <v>0</v>
      </c>
      <c r="AZ9" s="6">
        <f t="shared" si="19"/>
        <v>0</v>
      </c>
      <c r="BA9" s="6">
        <f t="shared" si="20"/>
        <v>0</v>
      </c>
      <c r="BB9" s="6">
        <f t="shared" si="21"/>
        <v>0</v>
      </c>
      <c r="BC9" s="6">
        <f t="shared" si="22"/>
        <v>0</v>
      </c>
      <c r="BD9" s="6">
        <f t="shared" si="23"/>
        <v>0</v>
      </c>
      <c r="BE9" s="6">
        <f t="shared" si="24"/>
        <v>0</v>
      </c>
      <c r="BF9" s="6">
        <f t="shared" si="25"/>
        <v>0</v>
      </c>
    </row>
    <row r="10" spans="1:58" x14ac:dyDescent="0.15">
      <c r="A10" s="39" t="s">
        <v>130</v>
      </c>
      <c r="B10" s="2" t="s">
        <v>131</v>
      </c>
      <c r="C10" s="39" t="s">
        <v>120</v>
      </c>
      <c r="D10" s="40">
        <v>0.2</v>
      </c>
      <c r="E10" s="6">
        <v>3842.96</v>
      </c>
      <c r="F10" s="6"/>
      <c r="G10" s="6"/>
      <c r="H10" s="6">
        <f t="shared" si="6"/>
        <v>3842.96</v>
      </c>
      <c r="I10" s="6">
        <f t="shared" si="6"/>
        <v>3842.96</v>
      </c>
      <c r="J10" s="6"/>
      <c r="K10" s="6"/>
      <c r="L10" s="6">
        <f t="shared" si="7"/>
        <v>3842.96</v>
      </c>
      <c r="M10" s="6"/>
      <c r="N10" s="6"/>
      <c r="O10" s="6">
        <f t="shared" si="8"/>
        <v>3842.96</v>
      </c>
      <c r="P10" s="6"/>
      <c r="Q10" s="6"/>
      <c r="R10" s="6">
        <f t="shared" si="9"/>
        <v>3842.96</v>
      </c>
      <c r="S10" s="6"/>
      <c r="T10" s="6"/>
      <c r="U10" s="6">
        <f t="shared" si="10"/>
        <v>3842.96</v>
      </c>
      <c r="V10" s="6"/>
      <c r="W10" s="6"/>
      <c r="X10" s="6">
        <f t="shared" si="11"/>
        <v>3842.96</v>
      </c>
      <c r="Y10" s="6"/>
      <c r="Z10" s="6"/>
      <c r="AA10" s="6">
        <f t="shared" si="12"/>
        <v>3842.96</v>
      </c>
      <c r="AB10" s="6"/>
      <c r="AC10" s="6"/>
      <c r="AD10" s="6">
        <f t="shared" si="13"/>
        <v>3842.96</v>
      </c>
      <c r="AE10" s="6"/>
      <c r="AF10" s="6"/>
      <c r="AG10" s="6">
        <f t="shared" si="14"/>
        <v>3842.96</v>
      </c>
      <c r="AH10" s="6"/>
      <c r="AI10" s="6"/>
      <c r="AJ10" s="6">
        <f t="shared" si="15"/>
        <v>3842.96</v>
      </c>
      <c r="AK10" s="6"/>
      <c r="AL10" s="6"/>
      <c r="AM10" s="6">
        <f t="shared" si="16"/>
        <v>3842.96</v>
      </c>
      <c r="AN10" s="6"/>
      <c r="AO10" s="6"/>
      <c r="AP10" s="6">
        <f t="shared" si="17"/>
        <v>3842.96</v>
      </c>
      <c r="AQ10" s="6"/>
      <c r="AR10" s="6"/>
      <c r="AS10" s="6">
        <f t="shared" si="18"/>
        <v>3842.96</v>
      </c>
      <c r="AT10" s="6">
        <f t="shared" si="0"/>
        <v>0</v>
      </c>
      <c r="AU10" s="6">
        <f t="shared" si="1"/>
        <v>0</v>
      </c>
      <c r="AV10" s="6">
        <f t="shared" si="2"/>
        <v>0</v>
      </c>
      <c r="AW10" s="6">
        <f t="shared" si="3"/>
        <v>0</v>
      </c>
      <c r="AX10" s="6">
        <f t="shared" si="4"/>
        <v>0</v>
      </c>
      <c r="AY10" s="6">
        <f t="shared" si="5"/>
        <v>0</v>
      </c>
      <c r="AZ10" s="6">
        <f t="shared" si="19"/>
        <v>0</v>
      </c>
      <c r="BA10" s="6">
        <f t="shared" si="20"/>
        <v>0</v>
      </c>
      <c r="BB10" s="6">
        <f t="shared" si="21"/>
        <v>0</v>
      </c>
      <c r="BC10" s="6">
        <f t="shared" si="22"/>
        <v>0</v>
      </c>
      <c r="BD10" s="6">
        <f t="shared" si="23"/>
        <v>0</v>
      </c>
      <c r="BE10" s="6">
        <f t="shared" si="24"/>
        <v>0</v>
      </c>
      <c r="BF10" s="6">
        <f t="shared" si="25"/>
        <v>0</v>
      </c>
    </row>
    <row r="11" spans="1:58" x14ac:dyDescent="0.15">
      <c r="A11" s="39" t="s">
        <v>132</v>
      </c>
      <c r="B11" s="2" t="s">
        <v>133</v>
      </c>
      <c r="C11" s="39" t="s">
        <v>120</v>
      </c>
      <c r="D11" s="40">
        <v>0.2</v>
      </c>
      <c r="E11" s="6">
        <v>3630</v>
      </c>
      <c r="F11" s="6"/>
      <c r="G11" s="6"/>
      <c r="H11" s="6">
        <f t="shared" si="6"/>
        <v>3630</v>
      </c>
      <c r="I11" s="6">
        <f t="shared" si="6"/>
        <v>3630</v>
      </c>
      <c r="J11" s="6"/>
      <c r="K11" s="6"/>
      <c r="L11" s="6">
        <f t="shared" si="7"/>
        <v>3630</v>
      </c>
      <c r="M11" s="6"/>
      <c r="N11" s="6"/>
      <c r="O11" s="6">
        <f t="shared" si="8"/>
        <v>3630</v>
      </c>
      <c r="P11" s="6"/>
      <c r="Q11" s="6"/>
      <c r="R11" s="6">
        <f t="shared" si="9"/>
        <v>3630</v>
      </c>
      <c r="S11" s="6"/>
      <c r="T11" s="6"/>
      <c r="U11" s="6">
        <f t="shared" si="10"/>
        <v>3630</v>
      </c>
      <c r="V11" s="6"/>
      <c r="W11" s="6"/>
      <c r="X11" s="6">
        <f t="shared" si="11"/>
        <v>3630</v>
      </c>
      <c r="Y11" s="6"/>
      <c r="Z11" s="6"/>
      <c r="AA11" s="6">
        <f t="shared" si="12"/>
        <v>3630</v>
      </c>
      <c r="AB11" s="6"/>
      <c r="AC11" s="6"/>
      <c r="AD11" s="6">
        <f t="shared" si="13"/>
        <v>3630</v>
      </c>
      <c r="AE11" s="6"/>
      <c r="AF11" s="6"/>
      <c r="AG11" s="6">
        <f t="shared" si="14"/>
        <v>3630</v>
      </c>
      <c r="AH11" s="6"/>
      <c r="AI11" s="6"/>
      <c r="AJ11" s="6">
        <f t="shared" si="15"/>
        <v>3630</v>
      </c>
      <c r="AK11" s="6"/>
      <c r="AL11" s="6"/>
      <c r="AM11" s="6">
        <f t="shared" si="16"/>
        <v>3630</v>
      </c>
      <c r="AN11" s="6"/>
      <c r="AO11" s="6"/>
      <c r="AP11" s="6">
        <f t="shared" si="17"/>
        <v>3630</v>
      </c>
      <c r="AQ11" s="6"/>
      <c r="AR11" s="6"/>
      <c r="AS11" s="6">
        <f t="shared" si="18"/>
        <v>3630</v>
      </c>
      <c r="AT11" s="6">
        <f t="shared" si="0"/>
        <v>0</v>
      </c>
      <c r="AU11" s="6">
        <f t="shared" si="1"/>
        <v>0</v>
      </c>
      <c r="AV11" s="6">
        <f t="shared" si="2"/>
        <v>0</v>
      </c>
      <c r="AW11" s="6">
        <f t="shared" si="3"/>
        <v>0</v>
      </c>
      <c r="AX11" s="6">
        <f t="shared" si="4"/>
        <v>0</v>
      </c>
      <c r="AY11" s="6">
        <f t="shared" si="5"/>
        <v>0</v>
      </c>
      <c r="AZ11" s="6">
        <f t="shared" si="19"/>
        <v>0</v>
      </c>
      <c r="BA11" s="6">
        <f t="shared" si="20"/>
        <v>0</v>
      </c>
      <c r="BB11" s="6">
        <f t="shared" si="21"/>
        <v>0</v>
      </c>
      <c r="BC11" s="6">
        <f t="shared" si="22"/>
        <v>0</v>
      </c>
      <c r="BD11" s="6">
        <f t="shared" si="23"/>
        <v>0</v>
      </c>
      <c r="BE11" s="6">
        <f t="shared" si="24"/>
        <v>0</v>
      </c>
      <c r="BF11" s="6">
        <f t="shared" si="25"/>
        <v>0</v>
      </c>
    </row>
    <row r="12" spans="1:58" x14ac:dyDescent="0.15">
      <c r="A12" s="39" t="s">
        <v>134</v>
      </c>
      <c r="B12" s="2" t="s">
        <v>135</v>
      </c>
      <c r="C12" s="39" t="s">
        <v>120</v>
      </c>
      <c r="D12" s="40">
        <v>0.2</v>
      </c>
      <c r="E12" s="6">
        <v>2530.7199999999998</v>
      </c>
      <c r="F12" s="6"/>
      <c r="G12" s="6"/>
      <c r="H12" s="6">
        <f t="shared" si="6"/>
        <v>2530.7199999999998</v>
      </c>
      <c r="I12" s="6">
        <f t="shared" si="6"/>
        <v>2530.7199999999998</v>
      </c>
      <c r="J12" s="6"/>
      <c r="K12" s="6"/>
      <c r="L12" s="6">
        <f t="shared" si="7"/>
        <v>2530.7199999999998</v>
      </c>
      <c r="M12" s="6"/>
      <c r="N12" s="6"/>
      <c r="O12" s="6">
        <f t="shared" si="8"/>
        <v>2530.7199999999998</v>
      </c>
      <c r="P12" s="6"/>
      <c r="Q12" s="6"/>
      <c r="R12" s="6">
        <f t="shared" si="9"/>
        <v>2530.7199999999998</v>
      </c>
      <c r="S12" s="6"/>
      <c r="T12" s="6"/>
      <c r="U12" s="6">
        <f t="shared" si="10"/>
        <v>2530.7199999999998</v>
      </c>
      <c r="V12" s="6"/>
      <c r="W12" s="6"/>
      <c r="X12" s="6">
        <f t="shared" si="11"/>
        <v>2530.7199999999998</v>
      </c>
      <c r="Y12" s="6"/>
      <c r="Z12" s="6"/>
      <c r="AA12" s="6">
        <f t="shared" si="12"/>
        <v>2530.7199999999998</v>
      </c>
      <c r="AB12" s="6"/>
      <c r="AC12" s="6"/>
      <c r="AD12" s="6">
        <f t="shared" si="13"/>
        <v>2530.7199999999998</v>
      </c>
      <c r="AE12" s="6"/>
      <c r="AF12" s="6"/>
      <c r="AG12" s="6">
        <f t="shared" si="14"/>
        <v>2530.7199999999998</v>
      </c>
      <c r="AH12" s="6"/>
      <c r="AI12" s="6"/>
      <c r="AJ12" s="6">
        <f t="shared" si="15"/>
        <v>2530.7199999999998</v>
      </c>
      <c r="AK12" s="6"/>
      <c r="AL12" s="6"/>
      <c r="AM12" s="6">
        <f t="shared" si="16"/>
        <v>2530.7199999999998</v>
      </c>
      <c r="AN12" s="6"/>
      <c r="AO12" s="6"/>
      <c r="AP12" s="6">
        <f t="shared" si="17"/>
        <v>2530.7199999999998</v>
      </c>
      <c r="AQ12" s="6"/>
      <c r="AR12" s="6"/>
      <c r="AS12" s="6">
        <f t="shared" si="18"/>
        <v>2530.7199999999998</v>
      </c>
      <c r="AT12" s="6">
        <f t="shared" si="0"/>
        <v>0</v>
      </c>
      <c r="AU12" s="6">
        <f t="shared" si="1"/>
        <v>0</v>
      </c>
      <c r="AV12" s="6">
        <f t="shared" si="2"/>
        <v>0</v>
      </c>
      <c r="AW12" s="6">
        <f t="shared" si="3"/>
        <v>0</v>
      </c>
      <c r="AX12" s="6">
        <f t="shared" si="4"/>
        <v>0</v>
      </c>
      <c r="AY12" s="6">
        <f t="shared" si="5"/>
        <v>0</v>
      </c>
      <c r="AZ12" s="6">
        <f t="shared" si="19"/>
        <v>0</v>
      </c>
      <c r="BA12" s="6">
        <f t="shared" si="20"/>
        <v>0</v>
      </c>
      <c r="BB12" s="6">
        <f t="shared" si="21"/>
        <v>0</v>
      </c>
      <c r="BC12" s="6">
        <f t="shared" si="22"/>
        <v>0</v>
      </c>
      <c r="BD12" s="6">
        <f t="shared" si="23"/>
        <v>0</v>
      </c>
      <c r="BE12" s="6">
        <f t="shared" si="24"/>
        <v>0</v>
      </c>
      <c r="BF12" s="6">
        <f t="shared" si="25"/>
        <v>0</v>
      </c>
    </row>
    <row r="13" spans="1:58" x14ac:dyDescent="0.15">
      <c r="A13" s="39" t="s">
        <v>136</v>
      </c>
      <c r="B13" s="2" t="s">
        <v>137</v>
      </c>
      <c r="C13" s="39" t="s">
        <v>120</v>
      </c>
      <c r="D13" s="40">
        <v>0.2</v>
      </c>
      <c r="E13" s="6">
        <v>15246</v>
      </c>
      <c r="F13" s="6"/>
      <c r="G13" s="6"/>
      <c r="H13" s="6">
        <f t="shared" si="6"/>
        <v>15246</v>
      </c>
      <c r="I13" s="6">
        <v>9757.44</v>
      </c>
      <c r="J13" s="6">
        <f>+ROUND(+$H13*$D13,2)</f>
        <v>3049.2</v>
      </c>
      <c r="K13" s="6"/>
      <c r="L13" s="6">
        <f t="shared" si="7"/>
        <v>12806.64</v>
      </c>
      <c r="M13" s="6">
        <f>+ROUND(+$H13*$D13,2)-609.84</f>
        <v>2439.3599999999997</v>
      </c>
      <c r="N13" s="6"/>
      <c r="O13" s="6">
        <f t="shared" si="8"/>
        <v>15246</v>
      </c>
      <c r="P13" s="6"/>
      <c r="Q13" s="6"/>
      <c r="R13" s="6">
        <f t="shared" si="9"/>
        <v>15246</v>
      </c>
      <c r="S13" s="6"/>
      <c r="T13" s="6"/>
      <c r="U13" s="6">
        <f t="shared" si="10"/>
        <v>15246</v>
      </c>
      <c r="V13" s="6"/>
      <c r="W13" s="6"/>
      <c r="X13" s="6">
        <f t="shared" si="11"/>
        <v>15246</v>
      </c>
      <c r="Y13" s="6"/>
      <c r="Z13" s="6"/>
      <c r="AA13" s="6">
        <f t="shared" si="12"/>
        <v>15246</v>
      </c>
      <c r="AB13" s="6"/>
      <c r="AC13" s="6"/>
      <c r="AD13" s="6">
        <f t="shared" si="13"/>
        <v>15246</v>
      </c>
      <c r="AE13" s="6"/>
      <c r="AF13" s="6"/>
      <c r="AG13" s="6">
        <f t="shared" si="14"/>
        <v>15246</v>
      </c>
      <c r="AH13" s="6"/>
      <c r="AI13" s="6"/>
      <c r="AJ13" s="6">
        <f t="shared" si="15"/>
        <v>15246</v>
      </c>
      <c r="AK13" s="6"/>
      <c r="AL13" s="6"/>
      <c r="AM13" s="6">
        <f t="shared" si="16"/>
        <v>15246</v>
      </c>
      <c r="AN13" s="6"/>
      <c r="AO13" s="6"/>
      <c r="AP13" s="6">
        <f t="shared" si="17"/>
        <v>15246</v>
      </c>
      <c r="AQ13" s="6"/>
      <c r="AR13" s="6"/>
      <c r="AS13" s="6">
        <f t="shared" si="18"/>
        <v>15246</v>
      </c>
      <c r="AT13" s="6">
        <f t="shared" si="0"/>
        <v>5488.5599999999995</v>
      </c>
      <c r="AU13" s="6">
        <f t="shared" si="1"/>
        <v>2439.3600000000006</v>
      </c>
      <c r="AV13" s="6">
        <f t="shared" si="2"/>
        <v>0</v>
      </c>
      <c r="AW13" s="6">
        <f t="shared" si="3"/>
        <v>0</v>
      </c>
      <c r="AX13" s="6">
        <f t="shared" si="4"/>
        <v>0</v>
      </c>
      <c r="AY13" s="6">
        <f t="shared" si="5"/>
        <v>0</v>
      </c>
      <c r="AZ13" s="6">
        <f t="shared" si="19"/>
        <v>0</v>
      </c>
      <c r="BA13" s="6">
        <f t="shared" si="20"/>
        <v>0</v>
      </c>
      <c r="BB13" s="6">
        <f t="shared" si="21"/>
        <v>0</v>
      </c>
      <c r="BC13" s="6">
        <f t="shared" si="22"/>
        <v>0</v>
      </c>
      <c r="BD13" s="6">
        <f t="shared" si="23"/>
        <v>0</v>
      </c>
      <c r="BE13" s="6">
        <f t="shared" si="24"/>
        <v>0</v>
      </c>
      <c r="BF13" s="6">
        <f t="shared" si="25"/>
        <v>0</v>
      </c>
    </row>
    <row r="14" spans="1:58" s="11" customFormat="1" x14ac:dyDescent="0.15">
      <c r="A14" s="41" t="s">
        <v>138</v>
      </c>
      <c r="B14" s="42"/>
      <c r="C14" s="28"/>
      <c r="D14" s="43"/>
      <c r="E14" s="44">
        <f t="shared" ref="E14:AV14" si="26">SUM(E4:E13)</f>
        <v>55070.130000000005</v>
      </c>
      <c r="F14" s="44">
        <f t="shared" si="26"/>
        <v>0</v>
      </c>
      <c r="G14" s="44">
        <f t="shared" si="26"/>
        <v>0</v>
      </c>
      <c r="H14" s="44">
        <f t="shared" si="26"/>
        <v>55070.130000000005</v>
      </c>
      <c r="I14" s="44">
        <f t="shared" si="26"/>
        <v>49581.570000000007</v>
      </c>
      <c r="J14" s="44">
        <f t="shared" si="26"/>
        <v>3049.2</v>
      </c>
      <c r="K14" s="44">
        <f t="shared" si="26"/>
        <v>0</v>
      </c>
      <c r="L14" s="44">
        <f t="shared" si="26"/>
        <v>52630.770000000004</v>
      </c>
      <c r="M14" s="44">
        <f t="shared" si="26"/>
        <v>2439.3599999999997</v>
      </c>
      <c r="N14" s="44">
        <f t="shared" si="26"/>
        <v>0</v>
      </c>
      <c r="O14" s="44">
        <f t="shared" si="26"/>
        <v>55070.130000000005</v>
      </c>
      <c r="P14" s="44">
        <f t="shared" si="26"/>
        <v>0</v>
      </c>
      <c r="Q14" s="44">
        <f t="shared" si="26"/>
        <v>0</v>
      </c>
      <c r="R14" s="44">
        <f t="shared" ref="R14:AS14" si="27">SUM(R4:R13)</f>
        <v>55070.130000000005</v>
      </c>
      <c r="S14" s="44">
        <f t="shared" si="27"/>
        <v>0</v>
      </c>
      <c r="T14" s="44">
        <f t="shared" si="27"/>
        <v>0</v>
      </c>
      <c r="U14" s="44">
        <f t="shared" si="27"/>
        <v>55070.130000000005</v>
      </c>
      <c r="V14" s="44">
        <f t="shared" si="27"/>
        <v>0</v>
      </c>
      <c r="W14" s="44">
        <f t="shared" si="27"/>
        <v>0</v>
      </c>
      <c r="X14" s="44">
        <f t="shared" si="27"/>
        <v>55070.130000000005</v>
      </c>
      <c r="Y14" s="44">
        <f t="shared" si="27"/>
        <v>0</v>
      </c>
      <c r="Z14" s="44">
        <f t="shared" si="27"/>
        <v>0</v>
      </c>
      <c r="AA14" s="44">
        <f t="shared" si="27"/>
        <v>55070.130000000005</v>
      </c>
      <c r="AB14" s="44">
        <f t="shared" si="27"/>
        <v>0</v>
      </c>
      <c r="AC14" s="44">
        <f t="shared" si="27"/>
        <v>0</v>
      </c>
      <c r="AD14" s="44">
        <f t="shared" si="27"/>
        <v>55070.130000000005</v>
      </c>
      <c r="AE14" s="44">
        <f t="shared" si="27"/>
        <v>0</v>
      </c>
      <c r="AF14" s="44">
        <f t="shared" si="27"/>
        <v>0</v>
      </c>
      <c r="AG14" s="44">
        <f t="shared" si="27"/>
        <v>55070.130000000005</v>
      </c>
      <c r="AH14" s="44">
        <f t="shared" si="27"/>
        <v>0</v>
      </c>
      <c r="AI14" s="44">
        <f t="shared" si="27"/>
        <v>0</v>
      </c>
      <c r="AJ14" s="44">
        <f t="shared" si="27"/>
        <v>55070.130000000005</v>
      </c>
      <c r="AK14" s="44">
        <f t="shared" si="27"/>
        <v>0</v>
      </c>
      <c r="AL14" s="44">
        <f t="shared" si="27"/>
        <v>0</v>
      </c>
      <c r="AM14" s="44">
        <f t="shared" si="27"/>
        <v>55070.130000000005</v>
      </c>
      <c r="AN14" s="44">
        <f t="shared" si="27"/>
        <v>0</v>
      </c>
      <c r="AO14" s="44">
        <f t="shared" si="27"/>
        <v>0</v>
      </c>
      <c r="AP14" s="44">
        <f t="shared" si="27"/>
        <v>55070.130000000005</v>
      </c>
      <c r="AQ14" s="44">
        <f t="shared" si="27"/>
        <v>0</v>
      </c>
      <c r="AR14" s="44">
        <f t="shared" si="27"/>
        <v>0</v>
      </c>
      <c r="AS14" s="44">
        <f t="shared" si="27"/>
        <v>55070.130000000005</v>
      </c>
      <c r="AT14" s="44">
        <f t="shared" si="26"/>
        <v>5488.5599999999995</v>
      </c>
      <c r="AU14" s="44">
        <f t="shared" si="26"/>
        <v>2439.3600000000006</v>
      </c>
      <c r="AV14" s="44">
        <f t="shared" si="26"/>
        <v>0</v>
      </c>
      <c r="AW14" s="44">
        <f t="shared" ref="AW14:BB14" si="28">SUM(AW4:AW13)</f>
        <v>0</v>
      </c>
      <c r="AX14" s="44">
        <f t="shared" si="28"/>
        <v>0</v>
      </c>
      <c r="AY14" s="44">
        <f t="shared" si="28"/>
        <v>0</v>
      </c>
      <c r="AZ14" s="44">
        <f t="shared" si="28"/>
        <v>0</v>
      </c>
      <c r="BA14" s="44">
        <f t="shared" si="28"/>
        <v>0</v>
      </c>
      <c r="BB14" s="44">
        <f t="shared" si="28"/>
        <v>0</v>
      </c>
      <c r="BC14" s="44">
        <f t="shared" ref="BC14:BF14" si="29">SUM(BC4:BC13)</f>
        <v>0</v>
      </c>
      <c r="BD14" s="44">
        <f t="shared" si="29"/>
        <v>0</v>
      </c>
      <c r="BE14" s="44">
        <f t="shared" si="29"/>
        <v>0</v>
      </c>
      <c r="BF14" s="44">
        <f t="shared" si="29"/>
        <v>0</v>
      </c>
    </row>
    <row r="15" spans="1:58" x14ac:dyDescent="0.15"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1:58" x14ac:dyDescent="0.15">
      <c r="A16" s="27" t="s">
        <v>105</v>
      </c>
      <c r="B16" s="28" t="s">
        <v>106</v>
      </c>
      <c r="C16" s="28" t="s">
        <v>107</v>
      </c>
      <c r="D16" s="29" t="s">
        <v>108</v>
      </c>
      <c r="E16" s="28" t="s">
        <v>109</v>
      </c>
      <c r="F16" s="30" t="s">
        <v>110</v>
      </c>
      <c r="G16" s="30" t="s">
        <v>111</v>
      </c>
      <c r="H16" s="28" t="s">
        <v>109</v>
      </c>
      <c r="I16" s="28" t="s">
        <v>112</v>
      </c>
      <c r="J16" s="30" t="s">
        <v>110</v>
      </c>
      <c r="K16" s="30" t="s">
        <v>111</v>
      </c>
      <c r="L16" s="28" t="s">
        <v>112</v>
      </c>
      <c r="M16" s="30" t="s">
        <v>110</v>
      </c>
      <c r="N16" s="30" t="s">
        <v>111</v>
      </c>
      <c r="O16" s="28" t="s">
        <v>112</v>
      </c>
      <c r="P16" s="30" t="s">
        <v>110</v>
      </c>
      <c r="Q16" s="30" t="s">
        <v>111</v>
      </c>
      <c r="R16" s="28" t="s">
        <v>112</v>
      </c>
      <c r="S16" s="30" t="s">
        <v>110</v>
      </c>
      <c r="T16" s="30" t="s">
        <v>111</v>
      </c>
      <c r="U16" s="28" t="s">
        <v>112</v>
      </c>
      <c r="V16" s="30" t="s">
        <v>110</v>
      </c>
      <c r="W16" s="30" t="s">
        <v>111</v>
      </c>
      <c r="X16" s="28" t="s">
        <v>112</v>
      </c>
      <c r="Y16" s="30" t="s">
        <v>110</v>
      </c>
      <c r="Z16" s="30" t="s">
        <v>111</v>
      </c>
      <c r="AA16" s="28" t="s">
        <v>112</v>
      </c>
      <c r="AB16" s="30" t="s">
        <v>110</v>
      </c>
      <c r="AC16" s="30" t="s">
        <v>111</v>
      </c>
      <c r="AD16" s="28" t="s">
        <v>112</v>
      </c>
      <c r="AE16" s="30" t="s">
        <v>110</v>
      </c>
      <c r="AF16" s="30" t="s">
        <v>111</v>
      </c>
      <c r="AG16" s="28" t="s">
        <v>112</v>
      </c>
      <c r="AH16" s="30" t="s">
        <v>110</v>
      </c>
      <c r="AI16" s="30" t="s">
        <v>111</v>
      </c>
      <c r="AJ16" s="28" t="s">
        <v>112</v>
      </c>
      <c r="AK16" s="30" t="s">
        <v>110</v>
      </c>
      <c r="AL16" s="30" t="s">
        <v>111</v>
      </c>
      <c r="AM16" s="28" t="s">
        <v>112</v>
      </c>
      <c r="AN16" s="30" t="s">
        <v>110</v>
      </c>
      <c r="AO16" s="30" t="s">
        <v>111</v>
      </c>
      <c r="AP16" s="28" t="s">
        <v>112</v>
      </c>
      <c r="AQ16" s="30" t="s">
        <v>110</v>
      </c>
      <c r="AR16" s="30" t="s">
        <v>111</v>
      </c>
      <c r="AS16" s="28" t="s">
        <v>112</v>
      </c>
      <c r="AT16" s="28" t="s">
        <v>113</v>
      </c>
      <c r="AU16" s="28" t="s">
        <v>113</v>
      </c>
      <c r="AV16" s="28" t="s">
        <v>113</v>
      </c>
      <c r="AW16" s="28" t="s">
        <v>113</v>
      </c>
      <c r="AX16" s="28" t="s">
        <v>113</v>
      </c>
      <c r="AY16" s="28" t="s">
        <v>113</v>
      </c>
      <c r="AZ16" s="28" t="s">
        <v>113</v>
      </c>
      <c r="BA16" s="28" t="s">
        <v>113</v>
      </c>
      <c r="BB16" s="28" t="s">
        <v>113</v>
      </c>
      <c r="BC16" s="28" t="s">
        <v>113</v>
      </c>
      <c r="BD16" s="28" t="s">
        <v>113</v>
      </c>
      <c r="BE16" s="28" t="s">
        <v>113</v>
      </c>
      <c r="BF16" s="28" t="s">
        <v>113</v>
      </c>
    </row>
    <row r="17" spans="1:58" x14ac:dyDescent="0.15">
      <c r="A17" s="31"/>
      <c r="B17" s="32"/>
      <c r="C17" s="32"/>
      <c r="D17" s="33"/>
      <c r="E17" s="32" t="s">
        <v>114</v>
      </c>
      <c r="F17" s="32"/>
      <c r="G17" s="32"/>
      <c r="H17" s="32" t="s">
        <v>115</v>
      </c>
      <c r="I17" s="32" t="s">
        <v>116</v>
      </c>
      <c r="J17" s="32">
        <v>2014</v>
      </c>
      <c r="K17" s="32">
        <v>2014</v>
      </c>
      <c r="L17" s="32" t="s">
        <v>116</v>
      </c>
      <c r="M17" s="32">
        <v>2015</v>
      </c>
      <c r="N17" s="32">
        <v>2015</v>
      </c>
      <c r="O17" s="32" t="s">
        <v>116</v>
      </c>
      <c r="P17" s="32">
        <v>2016</v>
      </c>
      <c r="Q17" s="32">
        <v>2016</v>
      </c>
      <c r="R17" s="32" t="s">
        <v>116</v>
      </c>
      <c r="S17" s="32">
        <v>2017</v>
      </c>
      <c r="T17" s="32">
        <v>2017</v>
      </c>
      <c r="U17" s="32" t="s">
        <v>116</v>
      </c>
      <c r="V17" s="32">
        <v>2018</v>
      </c>
      <c r="W17" s="32">
        <v>2018</v>
      </c>
      <c r="X17" s="32" t="s">
        <v>116</v>
      </c>
      <c r="Y17" s="32">
        <v>2019</v>
      </c>
      <c r="Z17" s="32">
        <v>2019</v>
      </c>
      <c r="AA17" s="32" t="s">
        <v>116</v>
      </c>
      <c r="AB17" s="32">
        <v>2020</v>
      </c>
      <c r="AC17" s="32">
        <v>2020</v>
      </c>
      <c r="AD17" s="32" t="s">
        <v>116</v>
      </c>
      <c r="AE17" s="32">
        <v>2021</v>
      </c>
      <c r="AF17" s="32">
        <v>2021</v>
      </c>
      <c r="AG17" s="32" t="s">
        <v>116</v>
      </c>
      <c r="AH17" s="32">
        <v>2022</v>
      </c>
      <c r="AI17" s="32">
        <v>2022</v>
      </c>
      <c r="AJ17" s="32" t="s">
        <v>116</v>
      </c>
      <c r="AK17" s="32">
        <v>2023</v>
      </c>
      <c r="AL17" s="32">
        <v>2023</v>
      </c>
      <c r="AM17" s="32" t="s">
        <v>116</v>
      </c>
      <c r="AN17" s="32">
        <v>2024</v>
      </c>
      <c r="AO17" s="32">
        <v>2024</v>
      </c>
      <c r="AP17" s="32" t="s">
        <v>116</v>
      </c>
      <c r="AQ17" s="32">
        <v>2025</v>
      </c>
      <c r="AR17" s="32">
        <v>2025</v>
      </c>
      <c r="AS17" s="32" t="s">
        <v>116</v>
      </c>
      <c r="AT17" s="32" t="s">
        <v>117</v>
      </c>
      <c r="AU17" s="32" t="s">
        <v>117</v>
      </c>
      <c r="AV17" s="32" t="s">
        <v>117</v>
      </c>
      <c r="AW17" s="32" t="s">
        <v>117</v>
      </c>
      <c r="AX17" s="32" t="s">
        <v>117</v>
      </c>
      <c r="AY17" s="32" t="s">
        <v>117</v>
      </c>
      <c r="AZ17" s="32" t="s">
        <v>117</v>
      </c>
      <c r="BA17" s="32" t="s">
        <v>117</v>
      </c>
      <c r="BB17" s="32" t="s">
        <v>117</v>
      </c>
      <c r="BC17" s="32" t="s">
        <v>117</v>
      </c>
      <c r="BD17" s="32" t="s">
        <v>117</v>
      </c>
      <c r="BE17" s="32" t="s">
        <v>117</v>
      </c>
      <c r="BF17" s="32" t="s">
        <v>117</v>
      </c>
    </row>
    <row r="18" spans="1:58" x14ac:dyDescent="0.15">
      <c r="A18" s="34"/>
      <c r="B18" s="35"/>
      <c r="C18" s="35"/>
      <c r="D18" s="36"/>
      <c r="E18" s="13"/>
      <c r="F18" s="13"/>
      <c r="G18" s="13"/>
      <c r="H18" s="13"/>
      <c r="I18" s="37">
        <v>41639</v>
      </c>
      <c r="J18" s="13"/>
      <c r="K18" s="13"/>
      <c r="L18" s="37">
        <v>42004</v>
      </c>
      <c r="M18" s="13"/>
      <c r="N18" s="13"/>
      <c r="O18" s="37">
        <v>42369</v>
      </c>
      <c r="P18" s="13"/>
      <c r="Q18" s="13"/>
      <c r="R18" s="37">
        <v>42735</v>
      </c>
      <c r="S18" s="13"/>
      <c r="T18" s="13"/>
      <c r="U18" s="37">
        <v>43100</v>
      </c>
      <c r="V18" s="13"/>
      <c r="W18" s="13"/>
      <c r="X18" s="37">
        <v>43465</v>
      </c>
      <c r="Y18" s="13"/>
      <c r="Z18" s="13"/>
      <c r="AA18" s="37">
        <v>43830</v>
      </c>
      <c r="AB18" s="13"/>
      <c r="AC18" s="13"/>
      <c r="AD18" s="37">
        <v>44196</v>
      </c>
      <c r="AE18" s="13"/>
      <c r="AF18" s="13"/>
      <c r="AG18" s="37">
        <v>44561</v>
      </c>
      <c r="AH18" s="13"/>
      <c r="AI18" s="13"/>
      <c r="AJ18" s="37">
        <v>44926</v>
      </c>
      <c r="AK18" s="13"/>
      <c r="AL18" s="13"/>
      <c r="AM18" s="37">
        <v>45291</v>
      </c>
      <c r="AN18" s="13"/>
      <c r="AO18" s="13"/>
      <c r="AP18" s="37">
        <v>45657</v>
      </c>
      <c r="AQ18" s="13"/>
      <c r="AR18" s="13"/>
      <c r="AS18" s="37">
        <v>46022</v>
      </c>
      <c r="AT18" s="38">
        <v>41639</v>
      </c>
      <c r="AU18" s="38">
        <v>42004</v>
      </c>
      <c r="AV18" s="38">
        <v>42369</v>
      </c>
      <c r="AW18" s="38">
        <v>42735</v>
      </c>
      <c r="AX18" s="38">
        <v>43100</v>
      </c>
      <c r="AY18" s="38">
        <v>43465</v>
      </c>
      <c r="AZ18" s="38">
        <v>43830</v>
      </c>
      <c r="BA18" s="38">
        <v>44196</v>
      </c>
      <c r="BB18" s="38">
        <v>44561</v>
      </c>
      <c r="BC18" s="38">
        <v>44926</v>
      </c>
      <c r="BD18" s="38">
        <v>45291</v>
      </c>
      <c r="BE18" s="38">
        <v>45657</v>
      </c>
      <c r="BF18" s="38">
        <v>46022</v>
      </c>
    </row>
    <row r="19" spans="1:58" x14ac:dyDescent="0.15">
      <c r="A19" s="39" t="s">
        <v>139</v>
      </c>
      <c r="B19" s="2" t="s">
        <v>140</v>
      </c>
      <c r="C19" s="45" t="s">
        <v>141</v>
      </c>
      <c r="D19" s="45" t="s">
        <v>141</v>
      </c>
      <c r="E19" s="6">
        <v>229886</v>
      </c>
      <c r="F19" s="6"/>
      <c r="G19" s="6"/>
      <c r="H19" s="6">
        <f>+E19+F19+G19</f>
        <v>229886</v>
      </c>
      <c r="I19" s="6">
        <v>0</v>
      </c>
      <c r="J19" s="6"/>
      <c r="K19" s="6"/>
      <c r="L19" s="6">
        <f>+I19+J19+K19</f>
        <v>0</v>
      </c>
      <c r="M19" s="6"/>
      <c r="N19" s="6"/>
      <c r="O19" s="6">
        <f t="shared" ref="O19" si="30">+L19+M19+N19</f>
        <v>0</v>
      </c>
      <c r="P19" s="6"/>
      <c r="Q19" s="6"/>
      <c r="R19" s="6">
        <f t="shared" ref="R19" si="31">+O19+P19+Q19</f>
        <v>0</v>
      </c>
      <c r="S19" s="6"/>
      <c r="T19" s="6"/>
      <c r="U19" s="6">
        <f t="shared" ref="U19" si="32">+R19+S19+T19</f>
        <v>0</v>
      </c>
      <c r="V19" s="6"/>
      <c r="W19" s="6"/>
      <c r="X19" s="6">
        <f t="shared" ref="X19" si="33">+U19+V19+W19</f>
        <v>0</v>
      </c>
      <c r="Y19" s="6"/>
      <c r="Z19" s="6"/>
      <c r="AA19" s="6">
        <f t="shared" ref="AA19" si="34">+X19+Y19+Z19</f>
        <v>0</v>
      </c>
      <c r="AB19" s="6"/>
      <c r="AC19" s="6"/>
      <c r="AD19" s="6">
        <f t="shared" ref="AD19" si="35">+AA19+AB19+AC19</f>
        <v>0</v>
      </c>
      <c r="AE19" s="6"/>
      <c r="AF19" s="6"/>
      <c r="AG19" s="6">
        <f t="shared" ref="AG19" si="36">+AD19+AE19+AF19</f>
        <v>0</v>
      </c>
      <c r="AH19" s="6"/>
      <c r="AI19" s="6"/>
      <c r="AJ19" s="6">
        <f t="shared" ref="AJ19" si="37">+AG19+AH19+AI19</f>
        <v>0</v>
      </c>
      <c r="AK19" s="6"/>
      <c r="AL19" s="6"/>
      <c r="AM19" s="6">
        <f t="shared" ref="AM19" si="38">+AJ19+AK19+AL19</f>
        <v>0</v>
      </c>
      <c r="AN19" s="6"/>
      <c r="AO19" s="6"/>
      <c r="AP19" s="6">
        <f t="shared" ref="AP19" si="39">+AM19+AN19+AO19</f>
        <v>0</v>
      </c>
      <c r="AQ19" s="6"/>
      <c r="AR19" s="6"/>
      <c r="AS19" s="6">
        <f t="shared" ref="AS19" si="40">+AP19+AQ19+AR19</f>
        <v>0</v>
      </c>
      <c r="AT19" s="6">
        <f>+H19-I19</f>
        <v>229886</v>
      </c>
      <c r="AU19" s="6">
        <f>+H19-L19</f>
        <v>229886</v>
      </c>
      <c r="AV19" s="6">
        <f>+H19-O19</f>
        <v>229886</v>
      </c>
      <c r="AW19" s="6">
        <f>+H19-R19</f>
        <v>229886</v>
      </c>
      <c r="AX19" s="6">
        <f>+H19-U19</f>
        <v>229886</v>
      </c>
      <c r="AY19" s="6">
        <f>+H19-X19</f>
        <v>229886</v>
      </c>
      <c r="AZ19" s="6">
        <f t="shared" ref="AZ19" si="41">+H19-AA19</f>
        <v>229886</v>
      </c>
      <c r="BA19" s="6">
        <f t="shared" ref="BA19" si="42">+H19-AD19</f>
        <v>229886</v>
      </c>
      <c r="BB19" s="6">
        <f t="shared" ref="BB19" si="43">+H19-AG19</f>
        <v>229886</v>
      </c>
      <c r="BC19" s="6">
        <f>+$H19-AJ19</f>
        <v>229886</v>
      </c>
      <c r="BD19" s="6">
        <f>+$H19-AM19</f>
        <v>229886</v>
      </c>
      <c r="BE19" s="6">
        <f>+$H19-AP19</f>
        <v>229886</v>
      </c>
      <c r="BF19" s="6">
        <f>+$H19-AS19</f>
        <v>229886</v>
      </c>
    </row>
    <row r="20" spans="1:58" s="11" customFormat="1" x14ac:dyDescent="0.15">
      <c r="A20" s="41" t="s">
        <v>142</v>
      </c>
      <c r="B20" s="42"/>
      <c r="C20" s="28"/>
      <c r="D20" s="43"/>
      <c r="E20" s="44">
        <f t="shared" ref="E20:L20" si="44">SUM(E19:E19)</f>
        <v>229886</v>
      </c>
      <c r="F20" s="44">
        <f t="shared" si="44"/>
        <v>0</v>
      </c>
      <c r="G20" s="44">
        <f t="shared" si="44"/>
        <v>0</v>
      </c>
      <c r="H20" s="44">
        <f t="shared" si="44"/>
        <v>229886</v>
      </c>
      <c r="I20" s="44">
        <f t="shared" si="44"/>
        <v>0</v>
      </c>
      <c r="J20" s="44">
        <f t="shared" si="44"/>
        <v>0</v>
      </c>
      <c r="K20" s="44">
        <f t="shared" si="44"/>
        <v>0</v>
      </c>
      <c r="L20" s="44">
        <f t="shared" si="44"/>
        <v>0</v>
      </c>
      <c r="M20" s="44"/>
      <c r="N20" s="44"/>
      <c r="O20" s="44">
        <f t="shared" ref="O20:BB20" si="45">SUM(O19:O19)</f>
        <v>0</v>
      </c>
      <c r="P20" s="44">
        <f t="shared" si="45"/>
        <v>0</v>
      </c>
      <c r="Q20" s="44">
        <f t="shared" si="45"/>
        <v>0</v>
      </c>
      <c r="R20" s="44">
        <f t="shared" si="45"/>
        <v>0</v>
      </c>
      <c r="S20" s="44">
        <f t="shared" si="45"/>
        <v>0</v>
      </c>
      <c r="T20" s="44">
        <f t="shared" si="45"/>
        <v>0</v>
      </c>
      <c r="U20" s="44">
        <f t="shared" si="45"/>
        <v>0</v>
      </c>
      <c r="V20" s="44">
        <f t="shared" si="45"/>
        <v>0</v>
      </c>
      <c r="W20" s="44">
        <f t="shared" si="45"/>
        <v>0</v>
      </c>
      <c r="X20" s="44">
        <f t="shared" si="45"/>
        <v>0</v>
      </c>
      <c r="Y20" s="44">
        <f t="shared" si="45"/>
        <v>0</v>
      </c>
      <c r="Z20" s="44">
        <f t="shared" si="45"/>
        <v>0</v>
      </c>
      <c r="AA20" s="44">
        <f t="shared" si="45"/>
        <v>0</v>
      </c>
      <c r="AB20" s="44">
        <f t="shared" si="45"/>
        <v>0</v>
      </c>
      <c r="AC20" s="44">
        <f t="shared" si="45"/>
        <v>0</v>
      </c>
      <c r="AD20" s="44">
        <f t="shared" si="45"/>
        <v>0</v>
      </c>
      <c r="AE20" s="44">
        <f t="shared" si="45"/>
        <v>0</v>
      </c>
      <c r="AF20" s="44">
        <f t="shared" si="45"/>
        <v>0</v>
      </c>
      <c r="AG20" s="44">
        <f t="shared" si="45"/>
        <v>0</v>
      </c>
      <c r="AH20" s="44">
        <f t="shared" si="45"/>
        <v>0</v>
      </c>
      <c r="AI20" s="44">
        <f t="shared" si="45"/>
        <v>0</v>
      </c>
      <c r="AJ20" s="44">
        <f t="shared" si="45"/>
        <v>0</v>
      </c>
      <c r="AK20" s="44">
        <f t="shared" si="45"/>
        <v>0</v>
      </c>
      <c r="AL20" s="44">
        <f t="shared" si="45"/>
        <v>0</v>
      </c>
      <c r="AM20" s="44">
        <f t="shared" si="45"/>
        <v>0</v>
      </c>
      <c r="AN20" s="44">
        <f t="shared" si="45"/>
        <v>0</v>
      </c>
      <c r="AO20" s="44">
        <f t="shared" si="45"/>
        <v>0</v>
      </c>
      <c r="AP20" s="44">
        <f t="shared" si="45"/>
        <v>0</v>
      </c>
      <c r="AQ20" s="44">
        <f t="shared" si="45"/>
        <v>0</v>
      </c>
      <c r="AR20" s="44">
        <f t="shared" si="45"/>
        <v>0</v>
      </c>
      <c r="AS20" s="44">
        <f t="shared" si="45"/>
        <v>0</v>
      </c>
      <c r="AT20" s="44">
        <f t="shared" si="45"/>
        <v>229886</v>
      </c>
      <c r="AU20" s="44">
        <f t="shared" si="45"/>
        <v>229886</v>
      </c>
      <c r="AV20" s="44">
        <f t="shared" si="45"/>
        <v>229886</v>
      </c>
      <c r="AW20" s="44">
        <f t="shared" si="45"/>
        <v>229886</v>
      </c>
      <c r="AX20" s="44">
        <f t="shared" si="45"/>
        <v>229886</v>
      </c>
      <c r="AY20" s="44">
        <f t="shared" si="45"/>
        <v>229886</v>
      </c>
      <c r="AZ20" s="44">
        <f t="shared" si="45"/>
        <v>229886</v>
      </c>
      <c r="BA20" s="44">
        <f t="shared" si="45"/>
        <v>229886</v>
      </c>
      <c r="BB20" s="44">
        <f t="shared" si="45"/>
        <v>229886</v>
      </c>
      <c r="BC20" s="44">
        <f t="shared" ref="BC20:BF20" si="46">SUM(BC19:BC19)</f>
        <v>229886</v>
      </c>
      <c r="BD20" s="44">
        <f t="shared" si="46"/>
        <v>229886</v>
      </c>
      <c r="BE20" s="44">
        <f t="shared" si="46"/>
        <v>229886</v>
      </c>
      <c r="BF20" s="44">
        <f t="shared" si="46"/>
        <v>229886</v>
      </c>
    </row>
    <row r="22" spans="1:58" x14ac:dyDescent="0.15">
      <c r="A22" s="27" t="s">
        <v>105</v>
      </c>
      <c r="B22" s="28" t="s">
        <v>106</v>
      </c>
      <c r="C22" s="28" t="s">
        <v>107</v>
      </c>
      <c r="D22" s="29" t="s">
        <v>108</v>
      </c>
      <c r="E22" s="28" t="s">
        <v>109</v>
      </c>
      <c r="F22" s="30" t="s">
        <v>110</v>
      </c>
      <c r="G22" s="30" t="s">
        <v>111</v>
      </c>
      <c r="H22" s="28" t="s">
        <v>109</v>
      </c>
      <c r="I22" s="28" t="s">
        <v>112</v>
      </c>
      <c r="J22" s="30" t="s">
        <v>110</v>
      </c>
      <c r="K22" s="30" t="s">
        <v>111</v>
      </c>
      <c r="L22" s="28" t="s">
        <v>112</v>
      </c>
      <c r="M22" s="30" t="s">
        <v>110</v>
      </c>
      <c r="N22" s="30" t="s">
        <v>111</v>
      </c>
      <c r="O22" s="28" t="s">
        <v>112</v>
      </c>
      <c r="P22" s="30" t="s">
        <v>110</v>
      </c>
      <c r="Q22" s="30" t="s">
        <v>111</v>
      </c>
      <c r="R22" s="28" t="s">
        <v>112</v>
      </c>
      <c r="S22" s="30" t="s">
        <v>110</v>
      </c>
      <c r="T22" s="30" t="s">
        <v>111</v>
      </c>
      <c r="U22" s="28" t="s">
        <v>112</v>
      </c>
      <c r="V22" s="30" t="s">
        <v>110</v>
      </c>
      <c r="W22" s="30" t="s">
        <v>111</v>
      </c>
      <c r="X22" s="28" t="s">
        <v>112</v>
      </c>
      <c r="Y22" s="30" t="s">
        <v>110</v>
      </c>
      <c r="Z22" s="30" t="s">
        <v>111</v>
      </c>
      <c r="AA22" s="28" t="s">
        <v>112</v>
      </c>
      <c r="AB22" s="30" t="s">
        <v>110</v>
      </c>
      <c r="AC22" s="30" t="s">
        <v>111</v>
      </c>
      <c r="AD22" s="28" t="s">
        <v>112</v>
      </c>
      <c r="AE22" s="30" t="s">
        <v>110</v>
      </c>
      <c r="AF22" s="30" t="s">
        <v>111</v>
      </c>
      <c r="AG22" s="28" t="s">
        <v>112</v>
      </c>
      <c r="AH22" s="30" t="s">
        <v>110</v>
      </c>
      <c r="AI22" s="30" t="s">
        <v>111</v>
      </c>
      <c r="AJ22" s="28" t="s">
        <v>112</v>
      </c>
      <c r="AK22" s="30" t="s">
        <v>110</v>
      </c>
      <c r="AL22" s="30" t="s">
        <v>111</v>
      </c>
      <c r="AM22" s="28" t="s">
        <v>112</v>
      </c>
      <c r="AN22" s="30" t="s">
        <v>110</v>
      </c>
      <c r="AO22" s="30" t="s">
        <v>111</v>
      </c>
      <c r="AP22" s="28" t="s">
        <v>112</v>
      </c>
      <c r="AQ22" s="30" t="s">
        <v>110</v>
      </c>
      <c r="AR22" s="30" t="s">
        <v>111</v>
      </c>
      <c r="AS22" s="28" t="s">
        <v>112</v>
      </c>
      <c r="AT22" s="28" t="s">
        <v>113</v>
      </c>
      <c r="AU22" s="28" t="s">
        <v>113</v>
      </c>
      <c r="AV22" s="28" t="s">
        <v>113</v>
      </c>
      <c r="AW22" s="28" t="s">
        <v>113</v>
      </c>
      <c r="AX22" s="28" t="s">
        <v>113</v>
      </c>
      <c r="AY22" s="28" t="s">
        <v>113</v>
      </c>
      <c r="AZ22" s="28" t="s">
        <v>113</v>
      </c>
      <c r="BA22" s="28" t="s">
        <v>113</v>
      </c>
      <c r="BB22" s="28" t="s">
        <v>113</v>
      </c>
      <c r="BC22" s="28" t="s">
        <v>113</v>
      </c>
      <c r="BD22" s="28" t="s">
        <v>113</v>
      </c>
      <c r="BE22" s="28" t="s">
        <v>113</v>
      </c>
      <c r="BF22" s="28" t="s">
        <v>113</v>
      </c>
    </row>
    <row r="23" spans="1:58" x14ac:dyDescent="0.15">
      <c r="A23" s="31"/>
      <c r="B23" s="32"/>
      <c r="C23" s="32"/>
      <c r="D23" s="33"/>
      <c r="E23" s="32" t="s">
        <v>114</v>
      </c>
      <c r="F23" s="32"/>
      <c r="G23" s="32"/>
      <c r="H23" s="32" t="s">
        <v>115</v>
      </c>
      <c r="I23" s="32" t="s">
        <v>116</v>
      </c>
      <c r="J23" s="32">
        <v>2014</v>
      </c>
      <c r="K23" s="32">
        <v>2014</v>
      </c>
      <c r="L23" s="32" t="s">
        <v>116</v>
      </c>
      <c r="M23" s="32">
        <v>2015</v>
      </c>
      <c r="N23" s="32">
        <v>2015</v>
      </c>
      <c r="O23" s="32" t="s">
        <v>116</v>
      </c>
      <c r="P23" s="32">
        <v>2016</v>
      </c>
      <c r="Q23" s="32">
        <v>2016</v>
      </c>
      <c r="R23" s="32" t="s">
        <v>116</v>
      </c>
      <c r="S23" s="32">
        <v>2017</v>
      </c>
      <c r="T23" s="32">
        <v>2017</v>
      </c>
      <c r="U23" s="32" t="s">
        <v>116</v>
      </c>
      <c r="V23" s="32">
        <v>2018</v>
      </c>
      <c r="W23" s="32">
        <v>2018</v>
      </c>
      <c r="X23" s="32" t="s">
        <v>116</v>
      </c>
      <c r="Y23" s="32">
        <v>2019</v>
      </c>
      <c r="Z23" s="32">
        <v>2019</v>
      </c>
      <c r="AA23" s="32" t="s">
        <v>116</v>
      </c>
      <c r="AB23" s="32">
        <v>2020</v>
      </c>
      <c r="AC23" s="32">
        <v>2020</v>
      </c>
      <c r="AD23" s="32" t="s">
        <v>116</v>
      </c>
      <c r="AE23" s="32">
        <v>2021</v>
      </c>
      <c r="AF23" s="32">
        <v>2021</v>
      </c>
      <c r="AG23" s="32" t="s">
        <v>116</v>
      </c>
      <c r="AH23" s="32">
        <v>2022</v>
      </c>
      <c r="AI23" s="32">
        <v>2022</v>
      </c>
      <c r="AJ23" s="32" t="s">
        <v>116</v>
      </c>
      <c r="AK23" s="32">
        <v>2023</v>
      </c>
      <c r="AL23" s="32">
        <v>2023</v>
      </c>
      <c r="AM23" s="32" t="s">
        <v>116</v>
      </c>
      <c r="AN23" s="32">
        <v>2024</v>
      </c>
      <c r="AO23" s="32">
        <v>2024</v>
      </c>
      <c r="AP23" s="32" t="s">
        <v>116</v>
      </c>
      <c r="AQ23" s="32">
        <v>2025</v>
      </c>
      <c r="AR23" s="32">
        <v>2025</v>
      </c>
      <c r="AS23" s="32" t="s">
        <v>116</v>
      </c>
      <c r="AT23" s="32" t="s">
        <v>117</v>
      </c>
      <c r="AU23" s="32" t="s">
        <v>117</v>
      </c>
      <c r="AV23" s="32" t="s">
        <v>117</v>
      </c>
      <c r="AW23" s="32" t="s">
        <v>117</v>
      </c>
      <c r="AX23" s="32" t="s">
        <v>117</v>
      </c>
      <c r="AY23" s="32" t="s">
        <v>117</v>
      </c>
      <c r="AZ23" s="32" t="s">
        <v>117</v>
      </c>
      <c r="BA23" s="32" t="s">
        <v>117</v>
      </c>
      <c r="BB23" s="32" t="s">
        <v>117</v>
      </c>
      <c r="BC23" s="32" t="s">
        <v>117</v>
      </c>
      <c r="BD23" s="32" t="s">
        <v>117</v>
      </c>
      <c r="BE23" s="32" t="s">
        <v>117</v>
      </c>
      <c r="BF23" s="32" t="s">
        <v>117</v>
      </c>
    </row>
    <row r="24" spans="1:58" x14ac:dyDescent="0.15">
      <c r="A24" s="34"/>
      <c r="B24" s="35"/>
      <c r="C24" s="35"/>
      <c r="D24" s="36"/>
      <c r="E24" s="13"/>
      <c r="F24" s="13"/>
      <c r="G24" s="13"/>
      <c r="H24" s="13"/>
      <c r="I24" s="37">
        <v>41639</v>
      </c>
      <c r="J24" s="13"/>
      <c r="K24" s="13"/>
      <c r="L24" s="37">
        <v>42004</v>
      </c>
      <c r="M24" s="13"/>
      <c r="N24" s="13"/>
      <c r="O24" s="37">
        <v>42369</v>
      </c>
      <c r="P24" s="13"/>
      <c r="Q24" s="13"/>
      <c r="R24" s="37">
        <v>42735</v>
      </c>
      <c r="S24" s="13"/>
      <c r="T24" s="13"/>
      <c r="U24" s="37">
        <v>43100</v>
      </c>
      <c r="V24" s="13"/>
      <c r="W24" s="13"/>
      <c r="X24" s="37">
        <v>43465</v>
      </c>
      <c r="Y24" s="13"/>
      <c r="Z24" s="13"/>
      <c r="AA24" s="37">
        <v>43830</v>
      </c>
      <c r="AB24" s="13"/>
      <c r="AC24" s="13"/>
      <c r="AD24" s="37">
        <v>44196</v>
      </c>
      <c r="AE24" s="13"/>
      <c r="AF24" s="13"/>
      <c r="AG24" s="37">
        <v>44561</v>
      </c>
      <c r="AH24" s="13"/>
      <c r="AI24" s="13"/>
      <c r="AJ24" s="37">
        <v>44926</v>
      </c>
      <c r="AK24" s="13"/>
      <c r="AL24" s="13"/>
      <c r="AM24" s="37">
        <v>45291</v>
      </c>
      <c r="AN24" s="13"/>
      <c r="AO24" s="13"/>
      <c r="AP24" s="37">
        <v>45657</v>
      </c>
      <c r="AQ24" s="13"/>
      <c r="AR24" s="13"/>
      <c r="AS24" s="37">
        <v>46022</v>
      </c>
      <c r="AT24" s="38">
        <v>41639</v>
      </c>
      <c r="AU24" s="38">
        <v>42004</v>
      </c>
      <c r="AV24" s="38">
        <v>42369</v>
      </c>
      <c r="AW24" s="38">
        <v>42735</v>
      </c>
      <c r="AX24" s="38">
        <v>43100</v>
      </c>
      <c r="AY24" s="38">
        <v>43465</v>
      </c>
      <c r="AZ24" s="38">
        <v>43830</v>
      </c>
      <c r="BA24" s="38">
        <v>44196</v>
      </c>
      <c r="BB24" s="38">
        <v>44561</v>
      </c>
      <c r="BC24" s="38">
        <v>44926</v>
      </c>
      <c r="BD24" s="38">
        <v>45291</v>
      </c>
      <c r="BE24" s="38">
        <v>45657</v>
      </c>
      <c r="BF24" s="38">
        <v>46022</v>
      </c>
    </row>
    <row r="25" spans="1:58" x14ac:dyDescent="0.15">
      <c r="A25" s="39" t="s">
        <v>139</v>
      </c>
      <c r="B25" s="2" t="s">
        <v>140</v>
      </c>
      <c r="C25" s="45">
        <v>30</v>
      </c>
      <c r="D25" s="45" t="s">
        <v>141</v>
      </c>
      <c r="E25" s="6">
        <v>120114</v>
      </c>
      <c r="F25" s="6"/>
      <c r="G25" s="6"/>
      <c r="H25" s="6">
        <f>+E25+F25+G25</f>
        <v>120114</v>
      </c>
      <c r="I25" s="6">
        <v>0</v>
      </c>
      <c r="J25" s="6"/>
      <c r="K25" s="6"/>
      <c r="L25" s="6">
        <f>+I25+J25+K25</f>
        <v>0</v>
      </c>
      <c r="M25" s="6"/>
      <c r="N25" s="6"/>
      <c r="O25" s="6">
        <f t="shared" ref="O25" si="47">+L25+M25+N25</f>
        <v>0</v>
      </c>
      <c r="P25" s="6"/>
      <c r="Q25" s="6"/>
      <c r="R25" s="6">
        <f t="shared" ref="R25" si="48">+O25+P25+Q25</f>
        <v>0</v>
      </c>
      <c r="S25" s="6">
        <f>+ROUND(+$H25/$C25,2)*5</f>
        <v>20019</v>
      </c>
      <c r="T25" s="6"/>
      <c r="U25" s="6">
        <f t="shared" ref="U25" si="49">+R25+S25+T25</f>
        <v>20019</v>
      </c>
      <c r="V25" s="6">
        <f>+ROUND(+$H25/$C25,2)</f>
        <v>4003.8</v>
      </c>
      <c r="W25" s="6"/>
      <c r="X25" s="6">
        <f t="shared" ref="X25" si="50">+U25+V25+W25</f>
        <v>24022.799999999999</v>
      </c>
      <c r="Y25" s="6">
        <f>+ROUND(+$H25/$C25,2)</f>
        <v>4003.8</v>
      </c>
      <c r="Z25" s="6"/>
      <c r="AA25" s="6">
        <f t="shared" ref="AA25" si="51">+X25+Y25+Z25</f>
        <v>28026.6</v>
      </c>
      <c r="AB25" s="6">
        <f>+ROUND(+$H25/$C25,2)</f>
        <v>4003.8</v>
      </c>
      <c r="AC25" s="6"/>
      <c r="AD25" s="6">
        <f t="shared" ref="AD25" si="52">+AA25+AB25+AC25</f>
        <v>32030.399999999998</v>
      </c>
      <c r="AE25" s="6">
        <f>+ROUND(+$H25/$C25,2)</f>
        <v>4003.8</v>
      </c>
      <c r="AF25" s="6"/>
      <c r="AG25" s="6">
        <f t="shared" ref="AG25" si="53">+AD25+AE25+AF25</f>
        <v>36034.199999999997</v>
      </c>
      <c r="AH25" s="6">
        <f>+ROUND(+$H25/$C25,2)</f>
        <v>4003.8</v>
      </c>
      <c r="AI25" s="6"/>
      <c r="AJ25" s="6">
        <f t="shared" ref="AJ25" si="54">+AG25+AH25+AI25</f>
        <v>40038</v>
      </c>
      <c r="AK25" s="6">
        <f>+ROUND(+$H25/$C25,2)</f>
        <v>4003.8</v>
      </c>
      <c r="AL25" s="6"/>
      <c r="AM25" s="6">
        <f t="shared" ref="AM25" si="55">+AJ25+AK25+AL25</f>
        <v>44041.8</v>
      </c>
      <c r="AN25" s="6">
        <f>+ROUND(+$H25/$C25,2)</f>
        <v>4003.8</v>
      </c>
      <c r="AO25" s="6"/>
      <c r="AP25" s="6">
        <f t="shared" ref="AP25" si="56">+AM25+AN25+AO25</f>
        <v>48045.600000000006</v>
      </c>
      <c r="AQ25" s="6">
        <f>+ROUND(+$H25/$C25,2)</f>
        <v>4003.8</v>
      </c>
      <c r="AR25" s="6"/>
      <c r="AS25" s="6">
        <f t="shared" ref="AS25" si="57">+AP25+AQ25+AR25</f>
        <v>52049.400000000009</v>
      </c>
      <c r="AT25" s="6">
        <f>+H25-I25</f>
        <v>120114</v>
      </c>
      <c r="AU25" s="6">
        <f>+H25-L25</f>
        <v>120114</v>
      </c>
      <c r="AV25" s="6">
        <f>+H25-O25</f>
        <v>120114</v>
      </c>
      <c r="AW25" s="6">
        <f>+H25-R25</f>
        <v>120114</v>
      </c>
      <c r="AX25" s="6">
        <f>+H25-U25</f>
        <v>100095</v>
      </c>
      <c r="AY25" s="6">
        <f>+H25-X25</f>
        <v>96091.199999999997</v>
      </c>
      <c r="AZ25" s="6">
        <f t="shared" ref="AZ25" si="58">+H25-AA25</f>
        <v>92087.4</v>
      </c>
      <c r="BA25" s="6">
        <f t="shared" ref="BA25" si="59">+H25-AD25</f>
        <v>88083.6</v>
      </c>
      <c r="BB25" s="6">
        <f t="shared" ref="BB25" si="60">+H25-AG25</f>
        <v>84079.8</v>
      </c>
      <c r="BC25" s="6">
        <f>+$H25-AJ25</f>
        <v>80076</v>
      </c>
      <c r="BD25" s="6">
        <f>+$H25-AM25</f>
        <v>76072.2</v>
      </c>
      <c r="BE25" s="6">
        <f>+$H25-AP25</f>
        <v>72068.399999999994</v>
      </c>
      <c r="BF25" s="6">
        <f>+$H25-AS25</f>
        <v>68064.599999999991</v>
      </c>
    </row>
    <row r="26" spans="1:58" x14ac:dyDescent="0.15">
      <c r="B26" s="2" t="s">
        <v>216</v>
      </c>
      <c r="C26" s="45">
        <v>10</v>
      </c>
      <c r="D26" s="45"/>
      <c r="E26" s="6">
        <v>102950.16</v>
      </c>
      <c r="F26" s="6"/>
      <c r="G26" s="6"/>
      <c r="H26" s="6">
        <f>+E26+F26+G26</f>
        <v>102950.16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>
        <f>+ROUND(+$H26/$C26,2)</f>
        <v>10295.02</v>
      </c>
      <c r="AF26" s="6"/>
      <c r="AG26" s="6"/>
      <c r="AH26" s="6">
        <f>+ROUND(+$H26/$C26,2)</f>
        <v>10295.02</v>
      </c>
      <c r="AI26" s="6"/>
      <c r="AJ26" s="6"/>
      <c r="AK26" s="6">
        <f>+ROUND(+$H26/$C26,2)</f>
        <v>10295.02</v>
      </c>
      <c r="AL26" s="6"/>
      <c r="AM26" s="6"/>
      <c r="AN26" s="6">
        <f>+ROUND(+$H26/$C26,2)</f>
        <v>10295.02</v>
      </c>
      <c r="AO26" s="6"/>
      <c r="AP26" s="6"/>
      <c r="AQ26" s="6">
        <f>+ROUND(+$H26/$C26,2)</f>
        <v>10295.02</v>
      </c>
      <c r="AR26" s="6"/>
      <c r="AS26" s="6">
        <f t="shared" ref="AS26" si="61">+AP26+AQ26+AR26</f>
        <v>10295.02</v>
      </c>
      <c r="AT26" s="6">
        <f>+H26-I26</f>
        <v>102950.16</v>
      </c>
      <c r="AU26" s="6">
        <f>+H26-L26</f>
        <v>102950.16</v>
      </c>
      <c r="AV26" s="6">
        <f>+H26-O26</f>
        <v>102950.16</v>
      </c>
      <c r="AW26" s="6">
        <f>+H26-R26</f>
        <v>102950.16</v>
      </c>
      <c r="AX26" s="6">
        <f>+H26-U26</f>
        <v>102950.16</v>
      </c>
      <c r="AY26" s="6">
        <f>+H26-X26</f>
        <v>102950.16</v>
      </c>
      <c r="AZ26" s="6">
        <f t="shared" ref="AZ26" si="62">+H26-AA26</f>
        <v>102950.16</v>
      </c>
      <c r="BA26" s="6">
        <f t="shared" ref="BA26" si="63">+H26-AD26</f>
        <v>102950.16</v>
      </c>
      <c r="BB26" s="6">
        <f t="shared" ref="BB26" si="64">+H26-AG26</f>
        <v>102950.16</v>
      </c>
      <c r="BC26" s="6">
        <f>+$H26-AJ26</f>
        <v>102950.16</v>
      </c>
      <c r="BD26" s="6">
        <f>+$H26-AM26</f>
        <v>102950.16</v>
      </c>
      <c r="BE26" s="6">
        <f>+$H26-AP26</f>
        <v>102950.16</v>
      </c>
      <c r="BF26" s="6">
        <f>+$H26-AS26</f>
        <v>92655.14</v>
      </c>
    </row>
    <row r="27" spans="1:58" x14ac:dyDescent="0.15">
      <c r="A27" s="41" t="s">
        <v>143</v>
      </c>
      <c r="B27" s="42"/>
      <c r="C27" s="28"/>
      <c r="D27" s="43"/>
      <c r="E27" s="44">
        <f>SUM(E25:E26)</f>
        <v>223064.16</v>
      </c>
      <c r="F27" s="44">
        <f t="shared" ref="F27:BF27" si="65">SUM(F25:F26)</f>
        <v>0</v>
      </c>
      <c r="G27" s="44">
        <f t="shared" si="65"/>
        <v>0</v>
      </c>
      <c r="H27" s="44">
        <f t="shared" si="65"/>
        <v>223064.16</v>
      </c>
      <c r="I27" s="44">
        <f t="shared" si="65"/>
        <v>0</v>
      </c>
      <c r="J27" s="44">
        <f t="shared" si="65"/>
        <v>0</v>
      </c>
      <c r="K27" s="44">
        <f t="shared" si="65"/>
        <v>0</v>
      </c>
      <c r="L27" s="44">
        <f t="shared" si="65"/>
        <v>0</v>
      </c>
      <c r="M27" s="44">
        <f t="shared" si="65"/>
        <v>0</v>
      </c>
      <c r="N27" s="44">
        <f t="shared" si="65"/>
        <v>0</v>
      </c>
      <c r="O27" s="44">
        <f t="shared" si="65"/>
        <v>0</v>
      </c>
      <c r="P27" s="44">
        <f t="shared" si="65"/>
        <v>0</v>
      </c>
      <c r="Q27" s="44">
        <f t="shared" si="65"/>
        <v>0</v>
      </c>
      <c r="R27" s="44">
        <f t="shared" si="65"/>
        <v>0</v>
      </c>
      <c r="S27" s="44">
        <f t="shared" si="65"/>
        <v>20019</v>
      </c>
      <c r="T27" s="44">
        <f t="shared" si="65"/>
        <v>0</v>
      </c>
      <c r="U27" s="44">
        <f t="shared" si="65"/>
        <v>20019</v>
      </c>
      <c r="V27" s="44">
        <f t="shared" si="65"/>
        <v>4003.8</v>
      </c>
      <c r="W27" s="44">
        <f t="shared" si="65"/>
        <v>0</v>
      </c>
      <c r="X27" s="44">
        <f t="shared" si="65"/>
        <v>24022.799999999999</v>
      </c>
      <c r="Y27" s="44">
        <f t="shared" si="65"/>
        <v>4003.8</v>
      </c>
      <c r="Z27" s="44">
        <f t="shared" si="65"/>
        <v>0</v>
      </c>
      <c r="AA27" s="44">
        <f t="shared" si="65"/>
        <v>28026.6</v>
      </c>
      <c r="AB27" s="44">
        <f t="shared" si="65"/>
        <v>4003.8</v>
      </c>
      <c r="AC27" s="44">
        <f t="shared" si="65"/>
        <v>0</v>
      </c>
      <c r="AD27" s="44">
        <f t="shared" si="65"/>
        <v>32030.399999999998</v>
      </c>
      <c r="AE27" s="44">
        <f t="shared" si="65"/>
        <v>14298.82</v>
      </c>
      <c r="AF27" s="44">
        <f t="shared" si="65"/>
        <v>0</v>
      </c>
      <c r="AG27" s="44">
        <f t="shared" si="65"/>
        <v>36034.199999999997</v>
      </c>
      <c r="AH27" s="44">
        <f t="shared" si="65"/>
        <v>14298.82</v>
      </c>
      <c r="AI27" s="44">
        <f t="shared" si="65"/>
        <v>0</v>
      </c>
      <c r="AJ27" s="44">
        <f t="shared" si="65"/>
        <v>40038</v>
      </c>
      <c r="AK27" s="44">
        <f t="shared" si="65"/>
        <v>14298.82</v>
      </c>
      <c r="AL27" s="44">
        <f t="shared" si="65"/>
        <v>0</v>
      </c>
      <c r="AM27" s="44">
        <f t="shared" si="65"/>
        <v>44041.8</v>
      </c>
      <c r="AN27" s="44">
        <f t="shared" si="65"/>
        <v>14298.82</v>
      </c>
      <c r="AO27" s="44">
        <f t="shared" si="65"/>
        <v>0</v>
      </c>
      <c r="AP27" s="44">
        <f t="shared" si="65"/>
        <v>48045.600000000006</v>
      </c>
      <c r="AQ27" s="44">
        <f t="shared" si="65"/>
        <v>14298.82</v>
      </c>
      <c r="AR27" s="44">
        <f t="shared" si="65"/>
        <v>0</v>
      </c>
      <c r="AS27" s="44">
        <f t="shared" si="65"/>
        <v>62344.420000000013</v>
      </c>
      <c r="AT27" s="44">
        <f t="shared" si="65"/>
        <v>223064.16</v>
      </c>
      <c r="AU27" s="44">
        <f t="shared" si="65"/>
        <v>223064.16</v>
      </c>
      <c r="AV27" s="44">
        <f t="shared" si="65"/>
        <v>223064.16</v>
      </c>
      <c r="AW27" s="44">
        <f t="shared" si="65"/>
        <v>223064.16</v>
      </c>
      <c r="AX27" s="44">
        <f t="shared" si="65"/>
        <v>203045.16</v>
      </c>
      <c r="AY27" s="44">
        <f t="shared" si="65"/>
        <v>199041.36</v>
      </c>
      <c r="AZ27" s="44">
        <f t="shared" si="65"/>
        <v>195037.56</v>
      </c>
      <c r="BA27" s="44">
        <f t="shared" si="65"/>
        <v>191033.76</v>
      </c>
      <c r="BB27" s="44">
        <f t="shared" si="65"/>
        <v>187029.96000000002</v>
      </c>
      <c r="BC27" s="44">
        <f t="shared" si="65"/>
        <v>183026.16</v>
      </c>
      <c r="BD27" s="44">
        <f t="shared" si="65"/>
        <v>179022.36</v>
      </c>
      <c r="BE27" s="44">
        <f t="shared" si="65"/>
        <v>175018.56</v>
      </c>
      <c r="BF27" s="44">
        <f t="shared" si="65"/>
        <v>160719.74</v>
      </c>
    </row>
    <row r="30" spans="1:58" x14ac:dyDescent="0.15">
      <c r="A30" s="27" t="s">
        <v>105</v>
      </c>
      <c r="B30" s="28" t="s">
        <v>106</v>
      </c>
      <c r="C30" s="28" t="s">
        <v>107</v>
      </c>
      <c r="D30" s="29" t="s">
        <v>108</v>
      </c>
      <c r="E30" s="28" t="s">
        <v>109</v>
      </c>
      <c r="F30" s="30" t="s">
        <v>110</v>
      </c>
      <c r="G30" s="30" t="s">
        <v>111</v>
      </c>
      <c r="H30" s="28" t="s">
        <v>109</v>
      </c>
      <c r="I30" s="28" t="s">
        <v>112</v>
      </c>
      <c r="J30" s="30" t="s">
        <v>110</v>
      </c>
      <c r="K30" s="30" t="s">
        <v>111</v>
      </c>
      <c r="L30" s="28" t="s">
        <v>112</v>
      </c>
      <c r="M30" s="30" t="s">
        <v>110</v>
      </c>
      <c r="N30" s="30" t="s">
        <v>111</v>
      </c>
      <c r="O30" s="28" t="s">
        <v>112</v>
      </c>
      <c r="P30" s="30" t="s">
        <v>110</v>
      </c>
      <c r="Q30" s="30" t="s">
        <v>111</v>
      </c>
      <c r="R30" s="28" t="s">
        <v>112</v>
      </c>
      <c r="S30" s="30" t="s">
        <v>110</v>
      </c>
      <c r="T30" s="30" t="s">
        <v>111</v>
      </c>
      <c r="U30" s="28" t="s">
        <v>112</v>
      </c>
      <c r="V30" s="30" t="s">
        <v>110</v>
      </c>
      <c r="W30" s="30" t="s">
        <v>111</v>
      </c>
      <c r="X30" s="28" t="s">
        <v>112</v>
      </c>
      <c r="Y30" s="30" t="s">
        <v>110</v>
      </c>
      <c r="Z30" s="30" t="s">
        <v>111</v>
      </c>
      <c r="AA30" s="28" t="s">
        <v>112</v>
      </c>
      <c r="AB30" s="30" t="s">
        <v>110</v>
      </c>
      <c r="AC30" s="30" t="s">
        <v>111</v>
      </c>
      <c r="AD30" s="28" t="s">
        <v>112</v>
      </c>
      <c r="AE30" s="30" t="s">
        <v>110</v>
      </c>
      <c r="AF30" s="30" t="s">
        <v>111</v>
      </c>
      <c r="AG30" s="28" t="s">
        <v>112</v>
      </c>
      <c r="AH30" s="30" t="s">
        <v>110</v>
      </c>
      <c r="AI30" s="30" t="s">
        <v>111</v>
      </c>
      <c r="AJ30" s="28" t="s">
        <v>112</v>
      </c>
      <c r="AK30" s="30" t="s">
        <v>110</v>
      </c>
      <c r="AL30" s="30" t="s">
        <v>111</v>
      </c>
      <c r="AM30" s="28" t="s">
        <v>112</v>
      </c>
      <c r="AN30" s="30" t="s">
        <v>110</v>
      </c>
      <c r="AO30" s="30" t="s">
        <v>111</v>
      </c>
      <c r="AP30" s="28" t="s">
        <v>112</v>
      </c>
      <c r="AQ30" s="30" t="s">
        <v>110</v>
      </c>
      <c r="AR30" s="30" t="s">
        <v>111</v>
      </c>
      <c r="AS30" s="28" t="s">
        <v>112</v>
      </c>
      <c r="AT30" s="28" t="s">
        <v>113</v>
      </c>
      <c r="AU30" s="28" t="s">
        <v>113</v>
      </c>
      <c r="AV30" s="28" t="s">
        <v>113</v>
      </c>
      <c r="AW30" s="28" t="s">
        <v>113</v>
      </c>
      <c r="AX30" s="28" t="s">
        <v>113</v>
      </c>
      <c r="AY30" s="28" t="s">
        <v>113</v>
      </c>
      <c r="AZ30" s="28" t="s">
        <v>113</v>
      </c>
      <c r="BA30" s="28" t="s">
        <v>113</v>
      </c>
      <c r="BB30" s="28" t="s">
        <v>113</v>
      </c>
      <c r="BC30" s="28" t="s">
        <v>113</v>
      </c>
      <c r="BD30" s="28" t="s">
        <v>113</v>
      </c>
      <c r="BE30" s="28" t="s">
        <v>113</v>
      </c>
      <c r="BF30" s="28" t="s">
        <v>113</v>
      </c>
    </row>
    <row r="31" spans="1:58" x14ac:dyDescent="0.15">
      <c r="A31" s="31"/>
      <c r="B31" s="32"/>
      <c r="C31" s="32"/>
      <c r="D31" s="33"/>
      <c r="E31" s="32" t="s">
        <v>114</v>
      </c>
      <c r="F31" s="32"/>
      <c r="G31" s="32"/>
      <c r="H31" s="32" t="s">
        <v>115</v>
      </c>
      <c r="I31" s="32" t="s">
        <v>116</v>
      </c>
      <c r="J31" s="32">
        <v>2014</v>
      </c>
      <c r="K31" s="32">
        <v>2014</v>
      </c>
      <c r="L31" s="32" t="s">
        <v>116</v>
      </c>
      <c r="M31" s="32">
        <v>2015</v>
      </c>
      <c r="N31" s="32">
        <v>2015</v>
      </c>
      <c r="O31" s="32" t="s">
        <v>116</v>
      </c>
      <c r="P31" s="32">
        <v>2016</v>
      </c>
      <c r="Q31" s="32">
        <v>2016</v>
      </c>
      <c r="R31" s="32" t="s">
        <v>116</v>
      </c>
      <c r="S31" s="32">
        <v>2017</v>
      </c>
      <c r="T31" s="32">
        <v>2017</v>
      </c>
      <c r="U31" s="32" t="s">
        <v>116</v>
      </c>
      <c r="V31" s="32">
        <v>2018</v>
      </c>
      <c r="W31" s="32">
        <v>2018</v>
      </c>
      <c r="X31" s="32" t="s">
        <v>116</v>
      </c>
      <c r="Y31" s="32">
        <v>2019</v>
      </c>
      <c r="Z31" s="32">
        <v>2019</v>
      </c>
      <c r="AA31" s="32" t="s">
        <v>116</v>
      </c>
      <c r="AB31" s="32">
        <v>2020</v>
      </c>
      <c r="AC31" s="32">
        <v>2020</v>
      </c>
      <c r="AD31" s="32" t="s">
        <v>116</v>
      </c>
      <c r="AE31" s="32">
        <v>2021</v>
      </c>
      <c r="AF31" s="32">
        <v>2021</v>
      </c>
      <c r="AG31" s="32" t="s">
        <v>116</v>
      </c>
      <c r="AH31" s="32">
        <v>2022</v>
      </c>
      <c r="AI31" s="32">
        <v>2022</v>
      </c>
      <c r="AJ31" s="32" t="s">
        <v>116</v>
      </c>
      <c r="AK31" s="32">
        <v>2023</v>
      </c>
      <c r="AL31" s="32">
        <v>2023</v>
      </c>
      <c r="AM31" s="32" t="s">
        <v>116</v>
      </c>
      <c r="AN31" s="32">
        <v>2024</v>
      </c>
      <c r="AO31" s="32">
        <v>2024</v>
      </c>
      <c r="AP31" s="32" t="s">
        <v>116</v>
      </c>
      <c r="AQ31" s="32">
        <v>2025</v>
      </c>
      <c r="AR31" s="32">
        <v>2025</v>
      </c>
      <c r="AS31" s="32" t="s">
        <v>116</v>
      </c>
      <c r="AT31" s="32" t="s">
        <v>117</v>
      </c>
      <c r="AU31" s="32" t="s">
        <v>117</v>
      </c>
      <c r="AV31" s="32" t="s">
        <v>117</v>
      </c>
      <c r="AW31" s="32" t="s">
        <v>117</v>
      </c>
      <c r="AX31" s="32" t="s">
        <v>117</v>
      </c>
      <c r="AY31" s="32" t="s">
        <v>117</v>
      </c>
      <c r="AZ31" s="32" t="s">
        <v>117</v>
      </c>
      <c r="BA31" s="32" t="s">
        <v>117</v>
      </c>
      <c r="BB31" s="32" t="s">
        <v>117</v>
      </c>
      <c r="BC31" s="32" t="s">
        <v>117</v>
      </c>
      <c r="BD31" s="32" t="s">
        <v>117</v>
      </c>
      <c r="BE31" s="32" t="s">
        <v>117</v>
      </c>
      <c r="BF31" s="32" t="s">
        <v>117</v>
      </c>
    </row>
    <row r="32" spans="1:58" x14ac:dyDescent="0.15">
      <c r="A32" s="34"/>
      <c r="B32" s="35"/>
      <c r="C32" s="35"/>
      <c r="D32" s="36"/>
      <c r="E32" s="13"/>
      <c r="F32" s="13"/>
      <c r="G32" s="13"/>
      <c r="H32" s="13"/>
      <c r="I32" s="37">
        <v>41639</v>
      </c>
      <c r="J32" s="13"/>
      <c r="K32" s="13"/>
      <c r="L32" s="37">
        <v>42004</v>
      </c>
      <c r="M32" s="13"/>
      <c r="N32" s="13"/>
      <c r="O32" s="37">
        <v>42369</v>
      </c>
      <c r="P32" s="13"/>
      <c r="Q32" s="13"/>
      <c r="R32" s="37">
        <v>42735</v>
      </c>
      <c r="S32" s="13"/>
      <c r="T32" s="13"/>
      <c r="U32" s="37">
        <v>43100</v>
      </c>
      <c r="V32" s="13"/>
      <c r="W32" s="13"/>
      <c r="X32" s="37">
        <v>43465</v>
      </c>
      <c r="Y32" s="13"/>
      <c r="Z32" s="13"/>
      <c r="AA32" s="37">
        <v>43830</v>
      </c>
      <c r="AB32" s="13"/>
      <c r="AC32" s="13"/>
      <c r="AD32" s="37">
        <v>44196</v>
      </c>
      <c r="AE32" s="13"/>
      <c r="AF32" s="13"/>
      <c r="AG32" s="37">
        <v>44561</v>
      </c>
      <c r="AH32" s="13"/>
      <c r="AI32" s="13"/>
      <c r="AJ32" s="37">
        <v>44926</v>
      </c>
      <c r="AK32" s="13"/>
      <c r="AL32" s="13"/>
      <c r="AM32" s="37">
        <v>45291</v>
      </c>
      <c r="AN32" s="13"/>
      <c r="AO32" s="13"/>
      <c r="AP32" s="37">
        <v>45657</v>
      </c>
      <c r="AQ32" s="13"/>
      <c r="AR32" s="13"/>
      <c r="AS32" s="37">
        <v>46022</v>
      </c>
      <c r="AT32" s="38">
        <v>41639</v>
      </c>
      <c r="AU32" s="38">
        <v>42004</v>
      </c>
      <c r="AV32" s="38">
        <v>42369</v>
      </c>
      <c r="AW32" s="38">
        <v>42735</v>
      </c>
      <c r="AX32" s="38">
        <v>43100</v>
      </c>
      <c r="AY32" s="38">
        <v>43465</v>
      </c>
      <c r="AZ32" s="38">
        <v>43830</v>
      </c>
      <c r="BA32" s="38">
        <v>44196</v>
      </c>
      <c r="BB32" s="38">
        <v>44561</v>
      </c>
      <c r="BC32" s="38">
        <v>44926</v>
      </c>
      <c r="BD32" s="38">
        <v>45291</v>
      </c>
      <c r="BE32" s="38">
        <v>45657</v>
      </c>
      <c r="BF32" s="38">
        <v>46022</v>
      </c>
    </row>
    <row r="33" spans="1:58" x14ac:dyDescent="0.15">
      <c r="A33" s="39" t="s">
        <v>144</v>
      </c>
      <c r="B33" s="2" t="s">
        <v>145</v>
      </c>
      <c r="C33" s="39" t="s">
        <v>146</v>
      </c>
      <c r="D33" s="40">
        <v>0.2</v>
      </c>
      <c r="E33" s="6">
        <v>3727.9</v>
      </c>
      <c r="F33" s="6"/>
      <c r="G33" s="6"/>
      <c r="H33" s="6">
        <f>+E33+F33+G33</f>
        <v>3727.9</v>
      </c>
      <c r="I33" s="6">
        <v>0</v>
      </c>
      <c r="J33" s="6"/>
      <c r="K33" s="6"/>
      <c r="L33" s="6"/>
      <c r="M33" s="6"/>
      <c r="N33" s="6"/>
      <c r="O33" s="6"/>
      <c r="P33" s="6">
        <f>+ROUND(+$H33*$D33,2)</f>
        <v>745.58</v>
      </c>
      <c r="Q33" s="6"/>
      <c r="R33" s="6">
        <f t="shared" ref="R33:R34" si="66">+O33+P33+Q33</f>
        <v>745.58</v>
      </c>
      <c r="S33" s="6">
        <f>+ROUND(+$H33*$D33,2)</f>
        <v>745.58</v>
      </c>
      <c r="T33" s="6"/>
      <c r="U33" s="6">
        <f t="shared" ref="U33:U34" si="67">+R33+S33+T33</f>
        <v>1491.16</v>
      </c>
      <c r="V33" s="6">
        <f>+ROUND(+$H33*$D33,2)</f>
        <v>745.58</v>
      </c>
      <c r="W33" s="6"/>
      <c r="X33" s="6">
        <f t="shared" ref="X33:X34" si="68">+U33+V33+W33</f>
        <v>2236.7400000000002</v>
      </c>
      <c r="Y33" s="6">
        <f t="shared" ref="Y33:Y34" si="69">+ROUND(+$H33*$D33,2)</f>
        <v>745.58</v>
      </c>
      <c r="Z33" s="6"/>
      <c r="AA33" s="6">
        <f t="shared" ref="AA33:AA34" si="70">+X33+Y33+Z33</f>
        <v>2982.32</v>
      </c>
      <c r="AB33" s="6">
        <f t="shared" ref="AB33:AB34" si="71">+ROUND(+$H33*$D33,2)</f>
        <v>745.58</v>
      </c>
      <c r="AC33" s="6"/>
      <c r="AD33" s="6">
        <f t="shared" ref="AD33:AD34" si="72">+AA33+AB33+AC33</f>
        <v>3727.9</v>
      </c>
      <c r="AE33" s="6"/>
      <c r="AF33" s="6"/>
      <c r="AG33" s="6">
        <f t="shared" ref="AG33:AG34" si="73">+AD33+AE33+AF33</f>
        <v>3727.9</v>
      </c>
      <c r="AH33" s="6"/>
      <c r="AI33" s="6"/>
      <c r="AJ33" s="6">
        <f t="shared" ref="AJ33:AJ34" si="74">+AG33+AH33+AI33</f>
        <v>3727.9</v>
      </c>
      <c r="AK33" s="6"/>
      <c r="AL33" s="6"/>
      <c r="AM33" s="6">
        <f t="shared" ref="AM33:AM34" si="75">+AJ33+AK33+AL33</f>
        <v>3727.9</v>
      </c>
      <c r="AN33" s="6"/>
      <c r="AO33" s="6"/>
      <c r="AP33" s="6">
        <f t="shared" ref="AP33:AP34" si="76">+AM33+AN33+AO33</f>
        <v>3727.9</v>
      </c>
      <c r="AQ33" s="6"/>
      <c r="AR33" s="6"/>
      <c r="AS33" s="6">
        <f t="shared" ref="AS33:AS34" si="77">+AP33+AQ33+AR33</f>
        <v>3727.9</v>
      </c>
      <c r="AT33" s="6"/>
      <c r="AU33" s="6"/>
      <c r="AV33" s="6"/>
      <c r="AW33" s="6">
        <f>+H33-R33</f>
        <v>2982.32</v>
      </c>
      <c r="AX33" s="6">
        <f>+H33-U33</f>
        <v>2236.7399999999998</v>
      </c>
      <c r="AY33" s="6">
        <f>+H33-X33</f>
        <v>1491.1599999999999</v>
      </c>
      <c r="AZ33" s="6">
        <f t="shared" ref="AZ33:AZ34" si="78">+H33-AA33</f>
        <v>745.57999999999993</v>
      </c>
      <c r="BA33" s="6">
        <f t="shared" ref="BA33:BA34" si="79">+H33-AD33</f>
        <v>0</v>
      </c>
      <c r="BB33" s="6">
        <f t="shared" ref="BB33:BB34" si="80">+H33-AG33</f>
        <v>0</v>
      </c>
      <c r="BC33" s="6">
        <f t="shared" ref="BC33:BC34" si="81">+$H33-AJ33</f>
        <v>0</v>
      </c>
      <c r="BD33" s="6">
        <f t="shared" ref="BD33:BD34" si="82">+$H33-AM33</f>
        <v>0</v>
      </c>
      <c r="BE33" s="6">
        <f t="shared" ref="BE33:BE34" si="83">+$H33-AP33</f>
        <v>0</v>
      </c>
      <c r="BF33" s="6">
        <f t="shared" ref="BF33:BF34" si="84">+$H33-AS33</f>
        <v>0</v>
      </c>
    </row>
    <row r="34" spans="1:58" x14ac:dyDescent="0.15">
      <c r="A34" s="39" t="s">
        <v>147</v>
      </c>
      <c r="B34" s="2" t="s">
        <v>148</v>
      </c>
      <c r="C34" s="39" t="s">
        <v>146</v>
      </c>
      <c r="D34" s="40">
        <v>0.2</v>
      </c>
      <c r="E34" s="6">
        <v>1573.75</v>
      </c>
      <c r="F34" s="6"/>
      <c r="G34" s="6"/>
      <c r="H34" s="6">
        <f>+E34+F34+G34</f>
        <v>1573.75</v>
      </c>
      <c r="I34" s="6"/>
      <c r="J34" s="6"/>
      <c r="K34" s="6"/>
      <c r="L34" s="6"/>
      <c r="M34" s="6"/>
      <c r="N34" s="6"/>
      <c r="O34" s="6"/>
      <c r="P34" s="6">
        <f>+ROUND(+H34*D34,2)</f>
        <v>314.75</v>
      </c>
      <c r="Q34" s="6"/>
      <c r="R34" s="6">
        <f t="shared" si="66"/>
        <v>314.75</v>
      </c>
      <c r="S34" s="6">
        <f>+ROUND(+$H34*$D34,2)</f>
        <v>314.75</v>
      </c>
      <c r="T34" s="6"/>
      <c r="U34" s="6">
        <f t="shared" si="67"/>
        <v>629.5</v>
      </c>
      <c r="V34" s="6">
        <f>+ROUND(+$H34*$D34,2)</f>
        <v>314.75</v>
      </c>
      <c r="W34" s="6"/>
      <c r="X34" s="6">
        <f t="shared" si="68"/>
        <v>944.25</v>
      </c>
      <c r="Y34" s="6">
        <f t="shared" si="69"/>
        <v>314.75</v>
      </c>
      <c r="Z34" s="6"/>
      <c r="AA34" s="6">
        <f t="shared" si="70"/>
        <v>1259</v>
      </c>
      <c r="AB34" s="6">
        <f t="shared" si="71"/>
        <v>314.75</v>
      </c>
      <c r="AC34" s="6"/>
      <c r="AD34" s="6">
        <f t="shared" si="72"/>
        <v>1573.75</v>
      </c>
      <c r="AE34" s="6"/>
      <c r="AF34" s="6"/>
      <c r="AG34" s="6">
        <f t="shared" si="73"/>
        <v>1573.75</v>
      </c>
      <c r="AH34" s="6"/>
      <c r="AI34" s="6"/>
      <c r="AJ34" s="6">
        <f t="shared" si="74"/>
        <v>1573.75</v>
      </c>
      <c r="AK34" s="6"/>
      <c r="AL34" s="6"/>
      <c r="AM34" s="6">
        <f t="shared" si="75"/>
        <v>1573.75</v>
      </c>
      <c r="AN34" s="6"/>
      <c r="AO34" s="6"/>
      <c r="AP34" s="6">
        <f t="shared" si="76"/>
        <v>1573.75</v>
      </c>
      <c r="AQ34" s="6"/>
      <c r="AR34" s="6"/>
      <c r="AS34" s="6">
        <f t="shared" si="77"/>
        <v>1573.75</v>
      </c>
      <c r="AT34" s="6"/>
      <c r="AU34" s="6"/>
      <c r="AV34" s="6"/>
      <c r="AW34" s="6">
        <f>+H34-R34</f>
        <v>1259</v>
      </c>
      <c r="AX34" s="6">
        <f>+H34-U34</f>
        <v>944.25</v>
      </c>
      <c r="AY34" s="6">
        <f>+H34-X34</f>
        <v>629.5</v>
      </c>
      <c r="AZ34" s="6">
        <f t="shared" si="78"/>
        <v>314.75</v>
      </c>
      <c r="BA34" s="6">
        <f t="shared" si="79"/>
        <v>0</v>
      </c>
      <c r="BB34" s="6">
        <f t="shared" si="80"/>
        <v>0</v>
      </c>
      <c r="BC34" s="6">
        <f t="shared" si="81"/>
        <v>0</v>
      </c>
      <c r="BD34" s="6">
        <f t="shared" si="82"/>
        <v>0</v>
      </c>
      <c r="BE34" s="6">
        <f t="shared" si="83"/>
        <v>0</v>
      </c>
      <c r="BF34" s="6">
        <f t="shared" si="84"/>
        <v>0</v>
      </c>
    </row>
    <row r="35" spans="1:58" x14ac:dyDescent="0.15">
      <c r="A35" s="41" t="s">
        <v>149</v>
      </c>
      <c r="B35" s="42"/>
      <c r="C35" s="28"/>
      <c r="D35" s="43"/>
      <c r="E35" s="44">
        <f t="shared" ref="E35:AX35" si="85">SUM(E33:E34)</f>
        <v>5301.65</v>
      </c>
      <c r="F35" s="44">
        <f t="shared" si="85"/>
        <v>0</v>
      </c>
      <c r="G35" s="44">
        <f t="shared" si="85"/>
        <v>0</v>
      </c>
      <c r="H35" s="44">
        <f t="shared" si="85"/>
        <v>5301.65</v>
      </c>
      <c r="I35" s="44">
        <f t="shared" si="85"/>
        <v>0</v>
      </c>
      <c r="J35" s="44">
        <f t="shared" si="85"/>
        <v>0</v>
      </c>
      <c r="K35" s="44">
        <f t="shared" si="85"/>
        <v>0</v>
      </c>
      <c r="L35" s="44">
        <f t="shared" si="85"/>
        <v>0</v>
      </c>
      <c r="M35" s="44">
        <f t="shared" si="85"/>
        <v>0</v>
      </c>
      <c r="N35" s="44">
        <f t="shared" si="85"/>
        <v>0</v>
      </c>
      <c r="O35" s="44">
        <f t="shared" si="85"/>
        <v>0</v>
      </c>
      <c r="P35" s="44">
        <f t="shared" si="85"/>
        <v>1060.33</v>
      </c>
      <c r="Q35" s="44">
        <f t="shared" si="85"/>
        <v>0</v>
      </c>
      <c r="R35" s="44">
        <f t="shared" si="85"/>
        <v>1060.33</v>
      </c>
      <c r="S35" s="44">
        <f t="shared" si="85"/>
        <v>1060.33</v>
      </c>
      <c r="T35" s="44">
        <f t="shared" si="85"/>
        <v>0</v>
      </c>
      <c r="U35" s="44">
        <f t="shared" si="85"/>
        <v>2120.66</v>
      </c>
      <c r="V35" s="44">
        <f t="shared" si="85"/>
        <v>1060.33</v>
      </c>
      <c r="W35" s="44">
        <f t="shared" si="85"/>
        <v>0</v>
      </c>
      <c r="X35" s="44">
        <f t="shared" si="85"/>
        <v>3180.9900000000002</v>
      </c>
      <c r="Y35" s="44">
        <f t="shared" si="85"/>
        <v>1060.33</v>
      </c>
      <c r="Z35" s="44">
        <f t="shared" si="85"/>
        <v>0</v>
      </c>
      <c r="AA35" s="44">
        <f t="shared" si="85"/>
        <v>4241.32</v>
      </c>
      <c r="AB35" s="44">
        <f t="shared" si="85"/>
        <v>1060.33</v>
      </c>
      <c r="AC35" s="44">
        <f t="shared" si="85"/>
        <v>0</v>
      </c>
      <c r="AD35" s="44">
        <f t="shared" si="85"/>
        <v>5301.65</v>
      </c>
      <c r="AE35" s="44">
        <f t="shared" si="85"/>
        <v>0</v>
      </c>
      <c r="AF35" s="44">
        <f t="shared" si="85"/>
        <v>0</v>
      </c>
      <c r="AG35" s="44">
        <f t="shared" si="85"/>
        <v>5301.65</v>
      </c>
      <c r="AH35" s="44">
        <f t="shared" si="85"/>
        <v>0</v>
      </c>
      <c r="AI35" s="44">
        <f t="shared" si="85"/>
        <v>0</v>
      </c>
      <c r="AJ35" s="44">
        <f t="shared" si="85"/>
        <v>5301.65</v>
      </c>
      <c r="AK35" s="44">
        <f t="shared" si="85"/>
        <v>0</v>
      </c>
      <c r="AL35" s="44">
        <f t="shared" si="85"/>
        <v>0</v>
      </c>
      <c r="AM35" s="44">
        <f t="shared" si="85"/>
        <v>5301.65</v>
      </c>
      <c r="AN35" s="44">
        <f t="shared" si="85"/>
        <v>0</v>
      </c>
      <c r="AO35" s="44">
        <f t="shared" si="85"/>
        <v>0</v>
      </c>
      <c r="AP35" s="44">
        <f t="shared" si="85"/>
        <v>5301.65</v>
      </c>
      <c r="AQ35" s="44">
        <f t="shared" si="85"/>
        <v>0</v>
      </c>
      <c r="AR35" s="44">
        <f t="shared" si="85"/>
        <v>0</v>
      </c>
      <c r="AS35" s="44">
        <f t="shared" si="85"/>
        <v>5301.65</v>
      </c>
      <c r="AT35" s="44">
        <f t="shared" si="85"/>
        <v>0</v>
      </c>
      <c r="AU35" s="44">
        <f t="shared" si="85"/>
        <v>0</v>
      </c>
      <c r="AV35" s="44">
        <f t="shared" si="85"/>
        <v>0</v>
      </c>
      <c r="AW35" s="44">
        <f t="shared" si="85"/>
        <v>4241.32</v>
      </c>
      <c r="AX35" s="44">
        <f t="shared" si="85"/>
        <v>3180.99</v>
      </c>
      <c r="AY35" s="44">
        <f t="shared" ref="AY35:BB35" si="86">SUM(AY33:AY34)</f>
        <v>2120.66</v>
      </c>
      <c r="AZ35" s="44">
        <f t="shared" si="86"/>
        <v>1060.33</v>
      </c>
      <c r="BA35" s="44">
        <f t="shared" si="86"/>
        <v>0</v>
      </c>
      <c r="BB35" s="44">
        <f t="shared" si="86"/>
        <v>0</v>
      </c>
      <c r="BC35" s="44">
        <f t="shared" ref="BC35:BF35" si="87">SUM(BC33:BC34)</f>
        <v>0</v>
      </c>
      <c r="BD35" s="44">
        <f t="shared" si="87"/>
        <v>0</v>
      </c>
      <c r="BE35" s="44">
        <f t="shared" si="87"/>
        <v>0</v>
      </c>
      <c r="BF35" s="44">
        <f t="shared" si="87"/>
        <v>0</v>
      </c>
    </row>
    <row r="36" spans="1:58" x14ac:dyDescent="0.15">
      <c r="A36" s="46"/>
      <c r="B36" s="11"/>
      <c r="C36" s="32"/>
      <c r="D36" s="47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</row>
    <row r="37" spans="1:58" x14ac:dyDescent="0.15">
      <c r="A37" s="27" t="s">
        <v>105</v>
      </c>
      <c r="B37" s="28" t="s">
        <v>106</v>
      </c>
      <c r="C37" s="28" t="s">
        <v>107</v>
      </c>
      <c r="D37" s="29" t="s">
        <v>108</v>
      </c>
      <c r="E37" s="28" t="s">
        <v>109</v>
      </c>
      <c r="F37" s="30" t="s">
        <v>110</v>
      </c>
      <c r="G37" s="30" t="s">
        <v>111</v>
      </c>
      <c r="H37" s="28" t="s">
        <v>109</v>
      </c>
      <c r="I37" s="28" t="s">
        <v>112</v>
      </c>
      <c r="J37" s="30" t="s">
        <v>110</v>
      </c>
      <c r="K37" s="30" t="s">
        <v>111</v>
      </c>
      <c r="L37" s="28" t="s">
        <v>112</v>
      </c>
      <c r="M37" s="30" t="s">
        <v>110</v>
      </c>
      <c r="N37" s="30" t="s">
        <v>111</v>
      </c>
      <c r="O37" s="28" t="s">
        <v>112</v>
      </c>
      <c r="P37" s="30" t="s">
        <v>110</v>
      </c>
      <c r="Q37" s="30" t="s">
        <v>111</v>
      </c>
      <c r="R37" s="28" t="s">
        <v>112</v>
      </c>
      <c r="S37" s="30" t="s">
        <v>110</v>
      </c>
      <c r="T37" s="30" t="s">
        <v>111</v>
      </c>
      <c r="U37" s="28" t="s">
        <v>112</v>
      </c>
      <c r="V37" s="30" t="s">
        <v>110</v>
      </c>
      <c r="W37" s="30" t="s">
        <v>111</v>
      </c>
      <c r="X37" s="28" t="s">
        <v>112</v>
      </c>
      <c r="Y37" s="30" t="s">
        <v>110</v>
      </c>
      <c r="Z37" s="30" t="s">
        <v>111</v>
      </c>
      <c r="AA37" s="28" t="s">
        <v>112</v>
      </c>
      <c r="AB37" s="30" t="s">
        <v>110</v>
      </c>
      <c r="AC37" s="30" t="s">
        <v>111</v>
      </c>
      <c r="AD37" s="28" t="s">
        <v>112</v>
      </c>
      <c r="AE37" s="30" t="s">
        <v>110</v>
      </c>
      <c r="AF37" s="30" t="s">
        <v>111</v>
      </c>
      <c r="AG37" s="28" t="s">
        <v>112</v>
      </c>
      <c r="AH37" s="30" t="s">
        <v>110</v>
      </c>
      <c r="AI37" s="30" t="s">
        <v>111</v>
      </c>
      <c r="AJ37" s="28" t="s">
        <v>112</v>
      </c>
      <c r="AK37" s="30" t="s">
        <v>110</v>
      </c>
      <c r="AL37" s="30" t="s">
        <v>111</v>
      </c>
      <c r="AM37" s="28" t="s">
        <v>112</v>
      </c>
      <c r="AN37" s="30" t="s">
        <v>110</v>
      </c>
      <c r="AO37" s="30" t="s">
        <v>111</v>
      </c>
      <c r="AP37" s="28" t="s">
        <v>112</v>
      </c>
      <c r="AQ37" s="30" t="s">
        <v>110</v>
      </c>
      <c r="AR37" s="30" t="s">
        <v>111</v>
      </c>
      <c r="AS37" s="28" t="s">
        <v>112</v>
      </c>
      <c r="AT37" s="28" t="s">
        <v>113</v>
      </c>
      <c r="AU37" s="28" t="s">
        <v>113</v>
      </c>
      <c r="AV37" s="28" t="s">
        <v>113</v>
      </c>
      <c r="AW37" s="28" t="s">
        <v>113</v>
      </c>
      <c r="AX37" s="28" t="s">
        <v>113</v>
      </c>
      <c r="AY37" s="28" t="s">
        <v>113</v>
      </c>
      <c r="AZ37" s="28" t="s">
        <v>113</v>
      </c>
      <c r="BA37" s="28" t="s">
        <v>113</v>
      </c>
      <c r="BB37" s="28" t="s">
        <v>113</v>
      </c>
      <c r="BC37" s="28" t="s">
        <v>113</v>
      </c>
      <c r="BD37" s="28" t="s">
        <v>113</v>
      </c>
      <c r="BE37" s="28" t="s">
        <v>113</v>
      </c>
      <c r="BF37" s="28" t="s">
        <v>113</v>
      </c>
    </row>
    <row r="38" spans="1:58" x14ac:dyDescent="0.15">
      <c r="A38" s="31"/>
      <c r="B38" s="32"/>
      <c r="C38" s="32"/>
      <c r="D38" s="33"/>
      <c r="E38" s="32" t="s">
        <v>114</v>
      </c>
      <c r="F38" s="32"/>
      <c r="G38" s="32"/>
      <c r="H38" s="32" t="s">
        <v>115</v>
      </c>
      <c r="I38" s="32" t="s">
        <v>116</v>
      </c>
      <c r="J38" s="32">
        <v>2014</v>
      </c>
      <c r="K38" s="32">
        <v>2014</v>
      </c>
      <c r="L38" s="32" t="s">
        <v>116</v>
      </c>
      <c r="M38" s="32">
        <v>2015</v>
      </c>
      <c r="N38" s="32">
        <v>2015</v>
      </c>
      <c r="O38" s="32" t="s">
        <v>116</v>
      </c>
      <c r="P38" s="32">
        <v>2016</v>
      </c>
      <c r="Q38" s="32">
        <v>2016</v>
      </c>
      <c r="R38" s="32" t="s">
        <v>116</v>
      </c>
      <c r="S38" s="32">
        <v>2017</v>
      </c>
      <c r="T38" s="32">
        <v>2017</v>
      </c>
      <c r="U38" s="32" t="s">
        <v>116</v>
      </c>
      <c r="V38" s="32">
        <v>2018</v>
      </c>
      <c r="W38" s="32">
        <v>2018</v>
      </c>
      <c r="X38" s="32" t="s">
        <v>116</v>
      </c>
      <c r="Y38" s="32">
        <v>2019</v>
      </c>
      <c r="Z38" s="32">
        <v>2019</v>
      </c>
      <c r="AA38" s="32" t="s">
        <v>116</v>
      </c>
      <c r="AB38" s="32">
        <v>2020</v>
      </c>
      <c r="AC38" s="32">
        <v>2020</v>
      </c>
      <c r="AD38" s="32" t="s">
        <v>116</v>
      </c>
      <c r="AE38" s="32">
        <v>2021</v>
      </c>
      <c r="AF38" s="32">
        <v>2021</v>
      </c>
      <c r="AG38" s="32" t="s">
        <v>116</v>
      </c>
      <c r="AH38" s="32">
        <v>2022</v>
      </c>
      <c r="AI38" s="32">
        <v>2022</v>
      </c>
      <c r="AJ38" s="32" t="s">
        <v>116</v>
      </c>
      <c r="AK38" s="32">
        <v>2023</v>
      </c>
      <c r="AL38" s="32">
        <v>2023</v>
      </c>
      <c r="AM38" s="32" t="s">
        <v>116</v>
      </c>
      <c r="AN38" s="32">
        <v>2024</v>
      </c>
      <c r="AO38" s="32">
        <v>2024</v>
      </c>
      <c r="AP38" s="32" t="s">
        <v>116</v>
      </c>
      <c r="AQ38" s="32">
        <v>2025</v>
      </c>
      <c r="AR38" s="32">
        <v>2025</v>
      </c>
      <c r="AS38" s="32" t="s">
        <v>116</v>
      </c>
      <c r="AT38" s="32" t="s">
        <v>117</v>
      </c>
      <c r="AU38" s="32" t="s">
        <v>117</v>
      </c>
      <c r="AV38" s="32" t="s">
        <v>117</v>
      </c>
      <c r="AW38" s="32" t="s">
        <v>117</v>
      </c>
      <c r="AX38" s="32" t="s">
        <v>117</v>
      </c>
      <c r="AY38" s="32" t="s">
        <v>117</v>
      </c>
      <c r="AZ38" s="32" t="s">
        <v>117</v>
      </c>
      <c r="BA38" s="32" t="s">
        <v>117</v>
      </c>
      <c r="BB38" s="32" t="s">
        <v>117</v>
      </c>
      <c r="BC38" s="32" t="s">
        <v>117</v>
      </c>
      <c r="BD38" s="32" t="s">
        <v>117</v>
      </c>
      <c r="BE38" s="32" t="s">
        <v>117</v>
      </c>
      <c r="BF38" s="32" t="s">
        <v>117</v>
      </c>
    </row>
    <row r="39" spans="1:58" x14ac:dyDescent="0.15">
      <c r="A39" s="34"/>
      <c r="B39" s="35"/>
      <c r="C39" s="35"/>
      <c r="D39" s="36"/>
      <c r="E39" s="13"/>
      <c r="F39" s="13"/>
      <c r="G39" s="13"/>
      <c r="H39" s="13"/>
      <c r="I39" s="37">
        <v>41639</v>
      </c>
      <c r="J39" s="13"/>
      <c r="K39" s="13"/>
      <c r="L39" s="37">
        <v>42004</v>
      </c>
      <c r="M39" s="13"/>
      <c r="N39" s="13"/>
      <c r="O39" s="37">
        <v>42369</v>
      </c>
      <c r="P39" s="13"/>
      <c r="Q39" s="13"/>
      <c r="R39" s="37">
        <v>42735</v>
      </c>
      <c r="S39" s="13"/>
      <c r="T39" s="13"/>
      <c r="U39" s="37">
        <v>43100</v>
      </c>
      <c r="V39" s="13"/>
      <c r="W39" s="13"/>
      <c r="X39" s="37">
        <v>43465</v>
      </c>
      <c r="Y39" s="13"/>
      <c r="Z39" s="13"/>
      <c r="AA39" s="37">
        <v>43830</v>
      </c>
      <c r="AB39" s="13"/>
      <c r="AC39" s="13"/>
      <c r="AD39" s="37">
        <v>44196</v>
      </c>
      <c r="AE39" s="13"/>
      <c r="AF39" s="13"/>
      <c r="AG39" s="37">
        <v>44561</v>
      </c>
      <c r="AH39" s="13"/>
      <c r="AI39" s="13"/>
      <c r="AJ39" s="37">
        <v>44926</v>
      </c>
      <c r="AK39" s="13"/>
      <c r="AL39" s="13"/>
      <c r="AM39" s="37">
        <v>45291</v>
      </c>
      <c r="AN39" s="13"/>
      <c r="AO39" s="13"/>
      <c r="AP39" s="37">
        <v>45657</v>
      </c>
      <c r="AQ39" s="13"/>
      <c r="AR39" s="13"/>
      <c r="AS39" s="37">
        <v>46022</v>
      </c>
      <c r="AT39" s="38">
        <v>41639</v>
      </c>
      <c r="AU39" s="38">
        <v>42004</v>
      </c>
      <c r="AV39" s="38">
        <v>42369</v>
      </c>
      <c r="AW39" s="38">
        <v>42735</v>
      </c>
      <c r="AX39" s="38">
        <v>43100</v>
      </c>
      <c r="AY39" s="38">
        <v>43465</v>
      </c>
      <c r="AZ39" s="38">
        <v>43830</v>
      </c>
      <c r="BA39" s="38">
        <v>44196</v>
      </c>
      <c r="BB39" s="38">
        <v>44561</v>
      </c>
      <c r="BC39" s="38">
        <v>44926</v>
      </c>
      <c r="BD39" s="38">
        <v>45291</v>
      </c>
      <c r="BE39" s="38">
        <v>45657</v>
      </c>
      <c r="BF39" s="38">
        <v>46022</v>
      </c>
    </row>
    <row r="40" spans="1:58" x14ac:dyDescent="0.15">
      <c r="A40" s="39" t="s">
        <v>150</v>
      </c>
      <c r="B40" s="2" t="s">
        <v>151</v>
      </c>
      <c r="C40" s="39" t="s">
        <v>146</v>
      </c>
      <c r="D40" s="40">
        <v>0.25</v>
      </c>
      <c r="E40" s="6">
        <v>3214</v>
      </c>
      <c r="F40" s="6"/>
      <c r="G40" s="6"/>
      <c r="H40" s="6">
        <f t="shared" ref="H40" si="88">+E40+F40+G40</f>
        <v>3214</v>
      </c>
      <c r="I40" s="6">
        <v>3214</v>
      </c>
      <c r="J40" s="6"/>
      <c r="K40" s="6"/>
      <c r="L40" s="6">
        <f t="shared" ref="L40" si="89">+I40+J40+K40</f>
        <v>3214</v>
      </c>
      <c r="M40" s="6"/>
      <c r="N40" s="6"/>
      <c r="O40" s="6">
        <f t="shared" ref="O40" si="90">+L40+M40+N40</f>
        <v>3214</v>
      </c>
      <c r="P40" s="6"/>
      <c r="Q40" s="6"/>
      <c r="R40" s="6">
        <f t="shared" ref="R40" si="91">+O40+P40+Q40</f>
        <v>3214</v>
      </c>
      <c r="S40" s="6"/>
      <c r="T40" s="6"/>
      <c r="U40" s="6">
        <f t="shared" ref="U40" si="92">+R40+S40+T40</f>
        <v>3214</v>
      </c>
      <c r="V40" s="6"/>
      <c r="W40" s="6"/>
      <c r="X40" s="6">
        <f t="shared" ref="X40" si="93">+U40+V40+W40</f>
        <v>3214</v>
      </c>
      <c r="Y40" s="6"/>
      <c r="Z40" s="6"/>
      <c r="AA40" s="6">
        <f t="shared" ref="AA40" si="94">+X40+Y40+Z40</f>
        <v>3214</v>
      </c>
      <c r="AB40" s="6"/>
      <c r="AC40" s="6"/>
      <c r="AD40" s="6">
        <f t="shared" ref="AD40" si="95">+AA40+AB40+AC40</f>
        <v>3214</v>
      </c>
      <c r="AE40" s="6"/>
      <c r="AF40" s="6"/>
      <c r="AG40" s="6">
        <f t="shared" ref="AG40" si="96">+AD40+AE40+AF40</f>
        <v>3214</v>
      </c>
      <c r="AH40" s="6"/>
      <c r="AI40" s="6"/>
      <c r="AJ40" s="6">
        <f t="shared" ref="AJ40" si="97">+AG40+AH40+AI40</f>
        <v>3214</v>
      </c>
      <c r="AK40" s="6"/>
      <c r="AL40" s="6"/>
      <c r="AM40" s="6">
        <f t="shared" ref="AM40" si="98">+AJ40+AK40+AL40</f>
        <v>3214</v>
      </c>
      <c r="AN40" s="6"/>
      <c r="AO40" s="6"/>
      <c r="AP40" s="6">
        <f t="shared" ref="AP40" si="99">+AM40+AN40+AO40</f>
        <v>3214</v>
      </c>
      <c r="AQ40" s="6"/>
      <c r="AR40" s="6"/>
      <c r="AS40" s="6">
        <f t="shared" ref="AS40" si="100">+AP40+AQ40+AR40</f>
        <v>3214</v>
      </c>
      <c r="AT40" s="6">
        <f>+H40-I40</f>
        <v>0</v>
      </c>
      <c r="AU40" s="6">
        <f>+H40-L40</f>
        <v>0</v>
      </c>
      <c r="AV40" s="6">
        <f>+H40-O40</f>
        <v>0</v>
      </c>
      <c r="AW40" s="6">
        <f>+H40-R40</f>
        <v>0</v>
      </c>
      <c r="AX40" s="6">
        <f>+H40-U40</f>
        <v>0</v>
      </c>
      <c r="AY40" s="6">
        <f>+H40-X40</f>
        <v>0</v>
      </c>
      <c r="AZ40" s="6">
        <f t="shared" ref="AZ40" si="101">+H40-AA40</f>
        <v>0</v>
      </c>
      <c r="BA40" s="6">
        <f t="shared" ref="BA40" si="102">+H40-AD40</f>
        <v>0</v>
      </c>
      <c r="BB40" s="6">
        <f t="shared" ref="BB40" si="103">+H40-AG40</f>
        <v>0</v>
      </c>
      <c r="BC40" s="6">
        <f t="shared" ref="BC40" si="104">+$H40-AJ40</f>
        <v>0</v>
      </c>
      <c r="BD40" s="6">
        <f t="shared" ref="BD40" si="105">+$H40-AM40</f>
        <v>0</v>
      </c>
      <c r="BE40" s="6">
        <f t="shared" ref="BE40" si="106">+$H40-AP40</f>
        <v>0</v>
      </c>
      <c r="BF40" s="6">
        <f t="shared" ref="BF40" si="107">+$H40-AS40</f>
        <v>0</v>
      </c>
    </row>
    <row r="41" spans="1:58" s="11" customFormat="1" x14ac:dyDescent="0.15">
      <c r="A41" s="41" t="s">
        <v>152</v>
      </c>
      <c r="B41" s="42"/>
      <c r="C41" s="28"/>
      <c r="D41" s="43"/>
      <c r="E41" s="44">
        <f t="shared" ref="E41:AV41" si="108">SUM(E40:E40)</f>
        <v>3214</v>
      </c>
      <c r="F41" s="44">
        <f t="shared" si="108"/>
        <v>0</v>
      </c>
      <c r="G41" s="44">
        <f t="shared" si="108"/>
        <v>0</v>
      </c>
      <c r="H41" s="44">
        <f t="shared" si="108"/>
        <v>3214</v>
      </c>
      <c r="I41" s="44">
        <f t="shared" si="108"/>
        <v>3214</v>
      </c>
      <c r="J41" s="44">
        <f t="shared" si="108"/>
        <v>0</v>
      </c>
      <c r="K41" s="44">
        <f t="shared" si="108"/>
        <v>0</v>
      </c>
      <c r="L41" s="44">
        <f t="shared" si="108"/>
        <v>3214</v>
      </c>
      <c r="M41" s="44">
        <f t="shared" si="108"/>
        <v>0</v>
      </c>
      <c r="N41" s="44">
        <f t="shared" si="108"/>
        <v>0</v>
      </c>
      <c r="O41" s="44">
        <f t="shared" si="108"/>
        <v>3214</v>
      </c>
      <c r="P41" s="44">
        <f t="shared" si="108"/>
        <v>0</v>
      </c>
      <c r="Q41" s="44">
        <f t="shared" si="108"/>
        <v>0</v>
      </c>
      <c r="R41" s="44">
        <f t="shared" si="108"/>
        <v>3214</v>
      </c>
      <c r="S41" s="44">
        <f t="shared" si="108"/>
        <v>0</v>
      </c>
      <c r="T41" s="44">
        <f t="shared" si="108"/>
        <v>0</v>
      </c>
      <c r="U41" s="44">
        <f t="shared" si="108"/>
        <v>3214</v>
      </c>
      <c r="V41" s="44">
        <f t="shared" si="108"/>
        <v>0</v>
      </c>
      <c r="W41" s="44">
        <f t="shared" si="108"/>
        <v>0</v>
      </c>
      <c r="X41" s="44">
        <f t="shared" si="108"/>
        <v>3214</v>
      </c>
      <c r="Y41" s="44">
        <f t="shared" si="108"/>
        <v>0</v>
      </c>
      <c r="Z41" s="44">
        <f t="shared" si="108"/>
        <v>0</v>
      </c>
      <c r="AA41" s="44">
        <f t="shared" si="108"/>
        <v>3214</v>
      </c>
      <c r="AB41" s="44">
        <f t="shared" si="108"/>
        <v>0</v>
      </c>
      <c r="AC41" s="44">
        <f t="shared" si="108"/>
        <v>0</v>
      </c>
      <c r="AD41" s="44">
        <f t="shared" si="108"/>
        <v>3214</v>
      </c>
      <c r="AE41" s="44">
        <f t="shared" si="108"/>
        <v>0</v>
      </c>
      <c r="AF41" s="44">
        <f t="shared" si="108"/>
        <v>0</v>
      </c>
      <c r="AG41" s="44">
        <f t="shared" si="108"/>
        <v>3214</v>
      </c>
      <c r="AH41" s="44">
        <f t="shared" si="108"/>
        <v>0</v>
      </c>
      <c r="AI41" s="44">
        <f t="shared" si="108"/>
        <v>0</v>
      </c>
      <c r="AJ41" s="44">
        <f t="shared" si="108"/>
        <v>3214</v>
      </c>
      <c r="AK41" s="44">
        <f t="shared" si="108"/>
        <v>0</v>
      </c>
      <c r="AL41" s="44">
        <f t="shared" si="108"/>
        <v>0</v>
      </c>
      <c r="AM41" s="44">
        <f t="shared" si="108"/>
        <v>3214</v>
      </c>
      <c r="AN41" s="44">
        <f t="shared" si="108"/>
        <v>0</v>
      </c>
      <c r="AO41" s="44">
        <f t="shared" si="108"/>
        <v>0</v>
      </c>
      <c r="AP41" s="44">
        <f t="shared" si="108"/>
        <v>3214</v>
      </c>
      <c r="AQ41" s="44">
        <f t="shared" si="108"/>
        <v>0</v>
      </c>
      <c r="AR41" s="44">
        <f t="shared" si="108"/>
        <v>0</v>
      </c>
      <c r="AS41" s="44">
        <f t="shared" si="108"/>
        <v>3214</v>
      </c>
      <c r="AT41" s="44">
        <f t="shared" si="108"/>
        <v>0</v>
      </c>
      <c r="AU41" s="44">
        <f t="shared" si="108"/>
        <v>0</v>
      </c>
      <c r="AV41" s="44">
        <f t="shared" si="108"/>
        <v>0</v>
      </c>
      <c r="AW41" s="44">
        <f t="shared" ref="AW41:BB41" si="109">SUM(AW40:AW40)</f>
        <v>0</v>
      </c>
      <c r="AX41" s="44">
        <f t="shared" si="109"/>
        <v>0</v>
      </c>
      <c r="AY41" s="44">
        <f t="shared" si="109"/>
        <v>0</v>
      </c>
      <c r="AZ41" s="44">
        <f t="shared" si="109"/>
        <v>0</v>
      </c>
      <c r="BA41" s="44">
        <f t="shared" si="109"/>
        <v>0</v>
      </c>
      <c r="BB41" s="44">
        <f t="shared" si="109"/>
        <v>0</v>
      </c>
      <c r="BC41" s="44">
        <f t="shared" ref="BC41:BF41" si="110">SUM(BC40:BC40)</f>
        <v>0</v>
      </c>
      <c r="BD41" s="44">
        <f t="shared" si="110"/>
        <v>0</v>
      </c>
      <c r="BE41" s="44">
        <f t="shared" si="110"/>
        <v>0</v>
      </c>
      <c r="BF41" s="44">
        <f t="shared" si="110"/>
        <v>0</v>
      </c>
    </row>
    <row r="43" spans="1:58" x14ac:dyDescent="0.15">
      <c r="A43" s="27" t="s">
        <v>105</v>
      </c>
      <c r="B43" s="28" t="s">
        <v>106</v>
      </c>
      <c r="C43" s="28" t="s">
        <v>107</v>
      </c>
      <c r="D43" s="29" t="s">
        <v>108</v>
      </c>
      <c r="E43" s="28" t="s">
        <v>109</v>
      </c>
      <c r="F43" s="30" t="s">
        <v>110</v>
      </c>
      <c r="G43" s="30" t="s">
        <v>111</v>
      </c>
      <c r="H43" s="28" t="s">
        <v>109</v>
      </c>
      <c r="I43" s="28" t="s">
        <v>112</v>
      </c>
      <c r="J43" s="30" t="s">
        <v>110</v>
      </c>
      <c r="K43" s="30" t="s">
        <v>111</v>
      </c>
      <c r="L43" s="28" t="s">
        <v>112</v>
      </c>
      <c r="M43" s="30" t="s">
        <v>110</v>
      </c>
      <c r="N43" s="30" t="s">
        <v>111</v>
      </c>
      <c r="O43" s="28" t="s">
        <v>112</v>
      </c>
      <c r="P43" s="30" t="s">
        <v>110</v>
      </c>
      <c r="Q43" s="30" t="s">
        <v>111</v>
      </c>
      <c r="R43" s="28" t="s">
        <v>112</v>
      </c>
      <c r="S43" s="30" t="s">
        <v>110</v>
      </c>
      <c r="T43" s="30" t="s">
        <v>111</v>
      </c>
      <c r="U43" s="28" t="s">
        <v>112</v>
      </c>
      <c r="V43" s="30" t="s">
        <v>110</v>
      </c>
      <c r="W43" s="30" t="s">
        <v>111</v>
      </c>
      <c r="X43" s="28" t="s">
        <v>112</v>
      </c>
      <c r="Y43" s="30" t="s">
        <v>110</v>
      </c>
      <c r="Z43" s="30" t="s">
        <v>111</v>
      </c>
      <c r="AA43" s="28" t="s">
        <v>112</v>
      </c>
      <c r="AB43" s="30" t="s">
        <v>110</v>
      </c>
      <c r="AC43" s="30" t="s">
        <v>111</v>
      </c>
      <c r="AD43" s="28" t="s">
        <v>112</v>
      </c>
      <c r="AE43" s="30" t="s">
        <v>110</v>
      </c>
      <c r="AF43" s="30" t="s">
        <v>111</v>
      </c>
      <c r="AG43" s="28" t="s">
        <v>112</v>
      </c>
      <c r="AH43" s="30" t="s">
        <v>110</v>
      </c>
      <c r="AI43" s="30" t="s">
        <v>111</v>
      </c>
      <c r="AJ43" s="28" t="s">
        <v>112</v>
      </c>
      <c r="AK43" s="30" t="s">
        <v>110</v>
      </c>
      <c r="AL43" s="30" t="s">
        <v>111</v>
      </c>
      <c r="AM43" s="28" t="s">
        <v>112</v>
      </c>
      <c r="AN43" s="30" t="s">
        <v>110</v>
      </c>
      <c r="AO43" s="30" t="s">
        <v>111</v>
      </c>
      <c r="AP43" s="28" t="s">
        <v>112</v>
      </c>
      <c r="AQ43" s="30" t="s">
        <v>110</v>
      </c>
      <c r="AR43" s="30" t="s">
        <v>111</v>
      </c>
      <c r="AS43" s="28" t="s">
        <v>112</v>
      </c>
      <c r="AT43" s="28" t="s">
        <v>113</v>
      </c>
      <c r="AU43" s="28" t="s">
        <v>113</v>
      </c>
      <c r="AV43" s="28" t="s">
        <v>113</v>
      </c>
      <c r="AW43" s="28" t="s">
        <v>113</v>
      </c>
      <c r="AX43" s="28" t="s">
        <v>113</v>
      </c>
      <c r="AY43" s="28" t="s">
        <v>113</v>
      </c>
      <c r="AZ43" s="28" t="s">
        <v>113</v>
      </c>
      <c r="BA43" s="28" t="s">
        <v>113</v>
      </c>
      <c r="BB43" s="28" t="s">
        <v>113</v>
      </c>
      <c r="BC43" s="28" t="s">
        <v>113</v>
      </c>
      <c r="BD43" s="28" t="s">
        <v>113</v>
      </c>
      <c r="BE43" s="28" t="s">
        <v>113</v>
      </c>
      <c r="BF43" s="28" t="s">
        <v>113</v>
      </c>
    </row>
    <row r="44" spans="1:58" x14ac:dyDescent="0.15">
      <c r="A44" s="31"/>
      <c r="B44" s="32"/>
      <c r="C44" s="32"/>
      <c r="D44" s="33"/>
      <c r="E44" s="32" t="s">
        <v>114</v>
      </c>
      <c r="F44" s="32"/>
      <c r="G44" s="32"/>
      <c r="H44" s="32" t="s">
        <v>115</v>
      </c>
      <c r="I44" s="32" t="s">
        <v>116</v>
      </c>
      <c r="J44" s="32">
        <v>2014</v>
      </c>
      <c r="K44" s="32">
        <v>2014</v>
      </c>
      <c r="L44" s="32" t="s">
        <v>116</v>
      </c>
      <c r="M44" s="32">
        <v>2015</v>
      </c>
      <c r="N44" s="32">
        <v>2015</v>
      </c>
      <c r="O44" s="32" t="s">
        <v>116</v>
      </c>
      <c r="P44" s="32">
        <v>2016</v>
      </c>
      <c r="Q44" s="32">
        <v>2016</v>
      </c>
      <c r="R44" s="32" t="s">
        <v>116</v>
      </c>
      <c r="S44" s="32">
        <v>2017</v>
      </c>
      <c r="T44" s="32">
        <v>2017</v>
      </c>
      <c r="U44" s="32" t="s">
        <v>116</v>
      </c>
      <c r="V44" s="32">
        <v>2018</v>
      </c>
      <c r="W44" s="32">
        <v>2018</v>
      </c>
      <c r="X44" s="32" t="s">
        <v>116</v>
      </c>
      <c r="Y44" s="32">
        <v>2019</v>
      </c>
      <c r="Z44" s="32">
        <v>2019</v>
      </c>
      <c r="AA44" s="32" t="s">
        <v>116</v>
      </c>
      <c r="AB44" s="32">
        <v>2020</v>
      </c>
      <c r="AC44" s="32">
        <v>2020</v>
      </c>
      <c r="AD44" s="32" t="s">
        <v>116</v>
      </c>
      <c r="AE44" s="32">
        <v>2021</v>
      </c>
      <c r="AF44" s="32">
        <v>2021</v>
      </c>
      <c r="AG44" s="32" t="s">
        <v>116</v>
      </c>
      <c r="AH44" s="32">
        <v>2022</v>
      </c>
      <c r="AI44" s="32">
        <v>2022</v>
      </c>
      <c r="AJ44" s="32" t="s">
        <v>116</v>
      </c>
      <c r="AK44" s="32">
        <v>2023</v>
      </c>
      <c r="AL44" s="32">
        <v>2023</v>
      </c>
      <c r="AM44" s="32" t="s">
        <v>116</v>
      </c>
      <c r="AN44" s="32">
        <v>2024</v>
      </c>
      <c r="AO44" s="32">
        <v>2024</v>
      </c>
      <c r="AP44" s="32" t="s">
        <v>116</v>
      </c>
      <c r="AQ44" s="32">
        <v>2025</v>
      </c>
      <c r="AR44" s="32">
        <v>2025</v>
      </c>
      <c r="AS44" s="32" t="s">
        <v>116</v>
      </c>
      <c r="AT44" s="32" t="s">
        <v>117</v>
      </c>
      <c r="AU44" s="32" t="s">
        <v>117</v>
      </c>
      <c r="AV44" s="32" t="s">
        <v>117</v>
      </c>
      <c r="AW44" s="32" t="s">
        <v>117</v>
      </c>
      <c r="AX44" s="32" t="s">
        <v>117</v>
      </c>
      <c r="AY44" s="32" t="s">
        <v>117</v>
      </c>
      <c r="AZ44" s="32" t="s">
        <v>117</v>
      </c>
      <c r="BA44" s="32" t="s">
        <v>117</v>
      </c>
      <c r="BB44" s="32" t="s">
        <v>117</v>
      </c>
      <c r="BC44" s="32" t="s">
        <v>117</v>
      </c>
      <c r="BD44" s="32" t="s">
        <v>117</v>
      </c>
      <c r="BE44" s="32" t="s">
        <v>117</v>
      </c>
      <c r="BF44" s="32" t="s">
        <v>117</v>
      </c>
    </row>
    <row r="45" spans="1:58" x14ac:dyDescent="0.15">
      <c r="A45" s="34"/>
      <c r="B45" s="35"/>
      <c r="C45" s="35"/>
      <c r="D45" s="36"/>
      <c r="E45" s="13"/>
      <c r="F45" s="13"/>
      <c r="G45" s="13"/>
      <c r="H45" s="13"/>
      <c r="I45" s="37">
        <v>41639</v>
      </c>
      <c r="J45" s="13"/>
      <c r="K45" s="13"/>
      <c r="L45" s="37">
        <v>42004</v>
      </c>
      <c r="M45" s="13"/>
      <c r="N45" s="13"/>
      <c r="O45" s="37">
        <v>42369</v>
      </c>
      <c r="P45" s="13"/>
      <c r="Q45" s="13"/>
      <c r="R45" s="37">
        <v>42735</v>
      </c>
      <c r="S45" s="13"/>
      <c r="T45" s="13"/>
      <c r="U45" s="37">
        <v>43100</v>
      </c>
      <c r="V45" s="13"/>
      <c r="W45" s="13"/>
      <c r="X45" s="37">
        <v>43465</v>
      </c>
      <c r="Y45" s="13"/>
      <c r="Z45" s="13"/>
      <c r="AA45" s="37">
        <v>43830</v>
      </c>
      <c r="AB45" s="13"/>
      <c r="AC45" s="13"/>
      <c r="AD45" s="37">
        <v>44196</v>
      </c>
      <c r="AE45" s="13"/>
      <c r="AF45" s="13"/>
      <c r="AG45" s="37">
        <v>44561</v>
      </c>
      <c r="AH45" s="13"/>
      <c r="AI45" s="13"/>
      <c r="AJ45" s="37">
        <v>44926</v>
      </c>
      <c r="AK45" s="13"/>
      <c r="AL45" s="13"/>
      <c r="AM45" s="37">
        <v>45291</v>
      </c>
      <c r="AN45" s="13"/>
      <c r="AO45" s="13"/>
      <c r="AP45" s="37">
        <v>45657</v>
      </c>
      <c r="AQ45" s="13"/>
      <c r="AR45" s="13"/>
      <c r="AS45" s="37">
        <v>46022</v>
      </c>
      <c r="AT45" s="38">
        <v>41639</v>
      </c>
      <c r="AU45" s="38">
        <v>42004</v>
      </c>
      <c r="AV45" s="38">
        <v>42369</v>
      </c>
      <c r="AW45" s="38">
        <v>42735</v>
      </c>
      <c r="AX45" s="38">
        <v>43100</v>
      </c>
      <c r="AY45" s="38">
        <v>43465</v>
      </c>
      <c r="AZ45" s="38">
        <v>43830</v>
      </c>
      <c r="BA45" s="38">
        <v>44196</v>
      </c>
      <c r="BB45" s="38">
        <v>44561</v>
      </c>
      <c r="BC45" s="38">
        <v>44926</v>
      </c>
      <c r="BD45" s="38">
        <v>45291</v>
      </c>
      <c r="BE45" s="38">
        <v>45657</v>
      </c>
      <c r="BF45" s="38">
        <v>46022</v>
      </c>
    </row>
    <row r="46" spans="1:58" x14ac:dyDescent="0.15">
      <c r="A46" s="39" t="s">
        <v>153</v>
      </c>
      <c r="B46" s="2" t="s">
        <v>154</v>
      </c>
      <c r="C46" s="39" t="s">
        <v>146</v>
      </c>
      <c r="D46" s="40">
        <v>0.1</v>
      </c>
      <c r="E46" s="6">
        <v>9761.01</v>
      </c>
      <c r="F46" s="6"/>
      <c r="G46" s="6"/>
      <c r="H46" s="6">
        <f>+E46+F46+G46</f>
        <v>9761.01</v>
      </c>
      <c r="I46" s="6">
        <f>+F46+G46+H46</f>
        <v>9761.01</v>
      </c>
      <c r="J46" s="6"/>
      <c r="K46" s="6"/>
      <c r="L46" s="6">
        <f>+I46+J46+K46</f>
        <v>9761.01</v>
      </c>
      <c r="M46" s="6"/>
      <c r="N46" s="6"/>
      <c r="O46" s="6">
        <f>+L46+M46+N46</f>
        <v>9761.01</v>
      </c>
      <c r="P46" s="6"/>
      <c r="Q46" s="6"/>
      <c r="R46" s="6">
        <f t="shared" ref="R46:R48" si="111">+O46+P46+Q46</f>
        <v>9761.01</v>
      </c>
      <c r="S46" s="6"/>
      <c r="T46" s="6"/>
      <c r="U46" s="6">
        <f t="shared" ref="U46:U48" si="112">+R46+S46+T46</f>
        <v>9761.01</v>
      </c>
      <c r="V46" s="6"/>
      <c r="W46" s="6"/>
      <c r="X46" s="6">
        <f t="shared" ref="X46:X49" si="113">+U46+V46+W46</f>
        <v>9761.01</v>
      </c>
      <c r="Y46" s="6"/>
      <c r="Z46" s="6"/>
      <c r="AA46" s="6">
        <f t="shared" ref="AA46:AA49" si="114">+X46+Y46+Z46</f>
        <v>9761.01</v>
      </c>
      <c r="AB46" s="6"/>
      <c r="AC46" s="6"/>
      <c r="AD46" s="6">
        <f t="shared" ref="AD46:AD49" si="115">+AA46+AB46+AC46</f>
        <v>9761.01</v>
      </c>
      <c r="AE46" s="6"/>
      <c r="AF46" s="6"/>
      <c r="AG46" s="6">
        <f t="shared" ref="AG46:AG49" si="116">+AD46+AE46+AF46</f>
        <v>9761.01</v>
      </c>
      <c r="AH46" s="6"/>
      <c r="AI46" s="6"/>
      <c r="AJ46" s="6">
        <f t="shared" ref="AJ46:AJ49" si="117">+AG46+AH46+AI46</f>
        <v>9761.01</v>
      </c>
      <c r="AK46" s="6"/>
      <c r="AL46" s="6"/>
      <c r="AM46" s="6">
        <f t="shared" ref="AM46:AM49" si="118">+AJ46+AK46+AL46</f>
        <v>9761.01</v>
      </c>
      <c r="AN46" s="6"/>
      <c r="AO46" s="6"/>
      <c r="AP46" s="6">
        <f t="shared" ref="AP46:AP49" si="119">+AM46+AN46+AO46</f>
        <v>9761.01</v>
      </c>
      <c r="AQ46" s="6"/>
      <c r="AR46" s="6"/>
      <c r="AS46" s="6">
        <f t="shared" ref="AS46:AS49" si="120">+AP46+AQ46+AR46</f>
        <v>9761.01</v>
      </c>
      <c r="AT46" s="6">
        <f>+H46-I46</f>
        <v>0</v>
      </c>
      <c r="AU46" s="6">
        <f>+H46-L46</f>
        <v>0</v>
      </c>
      <c r="AV46" s="6">
        <f>+H46-O46</f>
        <v>0</v>
      </c>
      <c r="AW46" s="6">
        <f>+H46-R46</f>
        <v>0</v>
      </c>
      <c r="AX46" s="6">
        <f>+H46-U46</f>
        <v>0</v>
      </c>
      <c r="AY46" s="6">
        <f>+H46-X46</f>
        <v>0</v>
      </c>
      <c r="AZ46" s="6">
        <f t="shared" ref="AZ46:AZ49" si="121">+H46-AA46</f>
        <v>0</v>
      </c>
      <c r="BA46" s="6">
        <f t="shared" ref="BA46:BA49" si="122">+H46-AD46</f>
        <v>0</v>
      </c>
      <c r="BB46" s="6">
        <f t="shared" ref="BB46:BB49" si="123">+H46-AG46</f>
        <v>0</v>
      </c>
      <c r="BC46" s="6">
        <f t="shared" ref="BC46:BC49" si="124">+$H46-AJ46</f>
        <v>0</v>
      </c>
      <c r="BD46" s="6">
        <f t="shared" ref="BD46:BD49" si="125">+$H46-AM46</f>
        <v>0</v>
      </c>
      <c r="BE46" s="6">
        <f t="shared" ref="BE46:BE49" si="126">+$H46-AP46</f>
        <v>0</v>
      </c>
      <c r="BF46" s="6">
        <f t="shared" ref="BF46:BF49" si="127">+$H46-AS46</f>
        <v>0</v>
      </c>
    </row>
    <row r="47" spans="1:58" x14ac:dyDescent="0.15">
      <c r="A47" s="39" t="s">
        <v>153</v>
      </c>
      <c r="B47" s="2" t="s">
        <v>155</v>
      </c>
      <c r="C47" s="39" t="s">
        <v>146</v>
      </c>
      <c r="D47" s="40">
        <v>0.1</v>
      </c>
      <c r="E47" s="6">
        <v>4357.87</v>
      </c>
      <c r="F47" s="6"/>
      <c r="G47" s="6"/>
      <c r="H47" s="6">
        <f t="shared" ref="H47:I49" si="128">+E47+F47+G47</f>
        <v>4357.87</v>
      </c>
      <c r="I47" s="6">
        <f t="shared" si="128"/>
        <v>4357.87</v>
      </c>
      <c r="J47" s="6"/>
      <c r="K47" s="6"/>
      <c r="L47" s="6">
        <f t="shared" ref="L47:L48" si="129">+I47+J47+K47</f>
        <v>4357.87</v>
      </c>
      <c r="M47" s="6"/>
      <c r="N47" s="6"/>
      <c r="O47" s="6">
        <f t="shared" ref="O47:O48" si="130">+L47+M47+N47</f>
        <v>4357.87</v>
      </c>
      <c r="P47" s="6"/>
      <c r="Q47" s="6"/>
      <c r="R47" s="6">
        <f t="shared" si="111"/>
        <v>4357.87</v>
      </c>
      <c r="S47" s="6"/>
      <c r="T47" s="6"/>
      <c r="U47" s="6">
        <f t="shared" si="112"/>
        <v>4357.87</v>
      </c>
      <c r="V47" s="6"/>
      <c r="W47" s="6"/>
      <c r="X47" s="6">
        <f t="shared" si="113"/>
        <v>4357.87</v>
      </c>
      <c r="Y47" s="6"/>
      <c r="Z47" s="6"/>
      <c r="AA47" s="6">
        <f t="shared" si="114"/>
        <v>4357.87</v>
      </c>
      <c r="AB47" s="6"/>
      <c r="AC47" s="6"/>
      <c r="AD47" s="6">
        <f t="shared" si="115"/>
        <v>4357.87</v>
      </c>
      <c r="AE47" s="6"/>
      <c r="AF47" s="6"/>
      <c r="AG47" s="6">
        <f t="shared" si="116"/>
        <v>4357.87</v>
      </c>
      <c r="AH47" s="6"/>
      <c r="AI47" s="6"/>
      <c r="AJ47" s="6">
        <f t="shared" si="117"/>
        <v>4357.87</v>
      </c>
      <c r="AK47" s="6"/>
      <c r="AL47" s="6"/>
      <c r="AM47" s="6">
        <f t="shared" si="118"/>
        <v>4357.87</v>
      </c>
      <c r="AN47" s="6"/>
      <c r="AO47" s="6"/>
      <c r="AP47" s="6">
        <f t="shared" si="119"/>
        <v>4357.87</v>
      </c>
      <c r="AQ47" s="6"/>
      <c r="AR47" s="6"/>
      <c r="AS47" s="6">
        <f t="shared" si="120"/>
        <v>4357.87</v>
      </c>
      <c r="AT47" s="6">
        <f>+H47-I47</f>
        <v>0</v>
      </c>
      <c r="AU47" s="6">
        <f>+H47-L47</f>
        <v>0</v>
      </c>
      <c r="AV47" s="6">
        <f>+H47-O47</f>
        <v>0</v>
      </c>
      <c r="AW47" s="6">
        <f>+H47-R47</f>
        <v>0</v>
      </c>
      <c r="AX47" s="6">
        <f>+H47-U47</f>
        <v>0</v>
      </c>
      <c r="AY47" s="6">
        <f>+H47-X47</f>
        <v>0</v>
      </c>
      <c r="AZ47" s="6">
        <f t="shared" si="121"/>
        <v>0</v>
      </c>
      <c r="BA47" s="6">
        <f t="shared" si="122"/>
        <v>0</v>
      </c>
      <c r="BB47" s="6">
        <f t="shared" si="123"/>
        <v>0</v>
      </c>
      <c r="BC47" s="6">
        <f t="shared" si="124"/>
        <v>0</v>
      </c>
      <c r="BD47" s="6">
        <f t="shared" si="125"/>
        <v>0</v>
      </c>
      <c r="BE47" s="6">
        <f t="shared" si="126"/>
        <v>0</v>
      </c>
      <c r="BF47" s="6">
        <f t="shared" si="127"/>
        <v>0</v>
      </c>
    </row>
    <row r="48" spans="1:58" x14ac:dyDescent="0.15">
      <c r="A48" s="39" t="s">
        <v>126</v>
      </c>
      <c r="B48" s="2" t="s">
        <v>156</v>
      </c>
      <c r="C48" s="39" t="s">
        <v>120</v>
      </c>
      <c r="D48" s="40">
        <v>0.33329999999999999</v>
      </c>
      <c r="E48" s="6">
        <v>9817.2000000000007</v>
      </c>
      <c r="F48" s="6"/>
      <c r="G48" s="6"/>
      <c r="H48" s="6">
        <f t="shared" si="128"/>
        <v>9817.2000000000007</v>
      </c>
      <c r="I48" s="6">
        <f t="shared" si="128"/>
        <v>9817.2000000000007</v>
      </c>
      <c r="J48" s="6"/>
      <c r="K48" s="6"/>
      <c r="L48" s="6">
        <f t="shared" si="129"/>
        <v>9817.2000000000007</v>
      </c>
      <c r="M48" s="6"/>
      <c r="N48" s="6"/>
      <c r="O48" s="6">
        <f t="shared" si="130"/>
        <v>9817.2000000000007</v>
      </c>
      <c r="P48" s="6"/>
      <c r="Q48" s="6"/>
      <c r="R48" s="6">
        <f t="shared" si="111"/>
        <v>9817.2000000000007</v>
      </c>
      <c r="S48" s="6"/>
      <c r="T48" s="6"/>
      <c r="U48" s="6">
        <f t="shared" si="112"/>
        <v>9817.2000000000007</v>
      </c>
      <c r="V48" s="6"/>
      <c r="W48" s="6"/>
      <c r="X48" s="6">
        <f t="shared" si="113"/>
        <v>9817.2000000000007</v>
      </c>
      <c r="Y48" s="6"/>
      <c r="Z48" s="6"/>
      <c r="AA48" s="6">
        <f t="shared" si="114"/>
        <v>9817.2000000000007</v>
      </c>
      <c r="AB48" s="6"/>
      <c r="AC48" s="6"/>
      <c r="AD48" s="6">
        <f t="shared" si="115"/>
        <v>9817.2000000000007</v>
      </c>
      <c r="AE48" s="6"/>
      <c r="AF48" s="6"/>
      <c r="AG48" s="6">
        <f t="shared" si="116"/>
        <v>9817.2000000000007</v>
      </c>
      <c r="AH48" s="6"/>
      <c r="AI48" s="6"/>
      <c r="AJ48" s="6">
        <f t="shared" si="117"/>
        <v>9817.2000000000007</v>
      </c>
      <c r="AK48" s="6"/>
      <c r="AL48" s="6"/>
      <c r="AM48" s="6">
        <f t="shared" si="118"/>
        <v>9817.2000000000007</v>
      </c>
      <c r="AN48" s="6"/>
      <c r="AO48" s="6"/>
      <c r="AP48" s="6">
        <f t="shared" si="119"/>
        <v>9817.2000000000007</v>
      </c>
      <c r="AQ48" s="6"/>
      <c r="AR48" s="6"/>
      <c r="AS48" s="6">
        <f t="shared" si="120"/>
        <v>9817.2000000000007</v>
      </c>
      <c r="AT48" s="6">
        <f>+H48-I48</f>
        <v>0</v>
      </c>
      <c r="AU48" s="6">
        <f>+H48-L48</f>
        <v>0</v>
      </c>
      <c r="AV48" s="6">
        <f>+H48-O48</f>
        <v>0</v>
      </c>
      <c r="AW48" s="6">
        <f>+H48-R48</f>
        <v>0</v>
      </c>
      <c r="AX48" s="6">
        <f>+H48-U48</f>
        <v>0</v>
      </c>
      <c r="AY48" s="6">
        <f>+H48-X48</f>
        <v>0</v>
      </c>
      <c r="AZ48" s="6">
        <f t="shared" si="121"/>
        <v>0</v>
      </c>
      <c r="BA48" s="6">
        <f t="shared" si="122"/>
        <v>0</v>
      </c>
      <c r="BB48" s="6">
        <f t="shared" si="123"/>
        <v>0</v>
      </c>
      <c r="BC48" s="6">
        <f t="shared" si="124"/>
        <v>0</v>
      </c>
      <c r="BD48" s="6">
        <f t="shared" si="125"/>
        <v>0</v>
      </c>
      <c r="BE48" s="6">
        <f t="shared" si="126"/>
        <v>0</v>
      </c>
      <c r="BF48" s="6">
        <f t="shared" si="127"/>
        <v>0</v>
      </c>
    </row>
    <row r="49" spans="1:58" x14ac:dyDescent="0.15">
      <c r="A49" s="39">
        <v>180</v>
      </c>
      <c r="B49" s="2" t="s">
        <v>157</v>
      </c>
      <c r="C49" s="39" t="s">
        <v>146</v>
      </c>
      <c r="D49" s="40">
        <v>0.2</v>
      </c>
      <c r="E49" s="6">
        <v>2234.0500000000002</v>
      </c>
      <c r="F49" s="6"/>
      <c r="G49" s="6"/>
      <c r="H49" s="6">
        <f t="shared" si="128"/>
        <v>2234.0500000000002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>
        <f>+ROUND(+$H49*$D49,2)</f>
        <v>446.81</v>
      </c>
      <c r="W49" s="6"/>
      <c r="X49" s="6">
        <f t="shared" si="113"/>
        <v>446.81</v>
      </c>
      <c r="Y49" s="6">
        <f>+ROUND(+$H49*$D49,2)</f>
        <v>446.81</v>
      </c>
      <c r="Z49" s="6"/>
      <c r="AA49" s="6">
        <f t="shared" si="114"/>
        <v>893.62</v>
      </c>
      <c r="AB49" s="6">
        <f>+ROUND(+$H49*$D49,2)</f>
        <v>446.81</v>
      </c>
      <c r="AC49" s="6"/>
      <c r="AD49" s="6">
        <f t="shared" si="115"/>
        <v>1340.43</v>
      </c>
      <c r="AE49" s="6">
        <f>+ROUND(+$H49*$D49,2)</f>
        <v>446.81</v>
      </c>
      <c r="AF49" s="6"/>
      <c r="AG49" s="6">
        <f t="shared" si="116"/>
        <v>1787.24</v>
      </c>
      <c r="AH49" s="6">
        <f>+ROUND(+$H49*$D49,2)</f>
        <v>446.81</v>
      </c>
      <c r="AI49" s="6"/>
      <c r="AJ49" s="6">
        <f t="shared" si="117"/>
        <v>2234.0500000000002</v>
      </c>
      <c r="AK49" s="6"/>
      <c r="AL49" s="6"/>
      <c r="AM49" s="6">
        <f t="shared" si="118"/>
        <v>2234.0500000000002</v>
      </c>
      <c r="AN49" s="6"/>
      <c r="AO49" s="6"/>
      <c r="AP49" s="6">
        <f t="shared" si="119"/>
        <v>2234.0500000000002</v>
      </c>
      <c r="AQ49" s="6"/>
      <c r="AR49" s="6"/>
      <c r="AS49" s="6">
        <f t="shared" si="120"/>
        <v>2234.0500000000002</v>
      </c>
      <c r="AT49" s="6"/>
      <c r="AU49" s="6"/>
      <c r="AV49" s="6"/>
      <c r="AW49" s="6"/>
      <c r="AX49" s="6"/>
      <c r="AY49" s="6">
        <f>+H49-X49</f>
        <v>1787.2400000000002</v>
      </c>
      <c r="AZ49" s="6">
        <f t="shared" si="121"/>
        <v>1340.4300000000003</v>
      </c>
      <c r="BA49" s="6">
        <f t="shared" si="122"/>
        <v>893.62000000000012</v>
      </c>
      <c r="BB49" s="6">
        <f t="shared" si="123"/>
        <v>446.81000000000017</v>
      </c>
      <c r="BC49" s="6">
        <f t="shared" si="124"/>
        <v>0</v>
      </c>
      <c r="BD49" s="6">
        <f t="shared" si="125"/>
        <v>0</v>
      </c>
      <c r="BE49" s="6">
        <f t="shared" si="126"/>
        <v>0</v>
      </c>
      <c r="BF49" s="6">
        <f t="shared" si="127"/>
        <v>0</v>
      </c>
    </row>
    <row r="50" spans="1:58" s="11" customFormat="1" x14ac:dyDescent="0.15">
      <c r="A50" s="41" t="s">
        <v>158</v>
      </c>
      <c r="B50" s="42"/>
      <c r="C50" s="28"/>
      <c r="D50" s="43"/>
      <c r="E50" s="44">
        <f>SUM(E46:E49)</f>
        <v>26170.13</v>
      </c>
      <c r="F50" s="44">
        <f>SUM(F46:F49)</f>
        <v>0</v>
      </c>
      <c r="G50" s="44">
        <f t="shared" ref="G50:BB50" si="131">SUM(G46:G49)</f>
        <v>0</v>
      </c>
      <c r="H50" s="44">
        <f t="shared" si="131"/>
        <v>26170.13</v>
      </c>
      <c r="I50" s="44">
        <f t="shared" si="131"/>
        <v>23936.080000000002</v>
      </c>
      <c r="J50" s="44">
        <f t="shared" si="131"/>
        <v>0</v>
      </c>
      <c r="K50" s="44">
        <f t="shared" si="131"/>
        <v>0</v>
      </c>
      <c r="L50" s="44">
        <f t="shared" si="131"/>
        <v>23936.080000000002</v>
      </c>
      <c r="M50" s="44">
        <f t="shared" si="131"/>
        <v>0</v>
      </c>
      <c r="N50" s="44">
        <f t="shared" si="131"/>
        <v>0</v>
      </c>
      <c r="O50" s="44">
        <f t="shared" si="131"/>
        <v>23936.080000000002</v>
      </c>
      <c r="P50" s="44">
        <f t="shared" si="131"/>
        <v>0</v>
      </c>
      <c r="Q50" s="44">
        <f t="shared" si="131"/>
        <v>0</v>
      </c>
      <c r="R50" s="44">
        <f t="shared" si="131"/>
        <v>23936.080000000002</v>
      </c>
      <c r="S50" s="44">
        <f t="shared" si="131"/>
        <v>0</v>
      </c>
      <c r="T50" s="44">
        <f t="shared" si="131"/>
        <v>0</v>
      </c>
      <c r="U50" s="44">
        <f t="shared" si="131"/>
        <v>23936.080000000002</v>
      </c>
      <c r="V50" s="44">
        <f t="shared" si="131"/>
        <v>446.81</v>
      </c>
      <c r="W50" s="44">
        <f t="shared" si="131"/>
        <v>0</v>
      </c>
      <c r="X50" s="44">
        <f t="shared" si="131"/>
        <v>24382.890000000003</v>
      </c>
      <c r="Y50" s="44">
        <f t="shared" si="131"/>
        <v>446.81</v>
      </c>
      <c r="Z50" s="44">
        <f t="shared" si="131"/>
        <v>0</v>
      </c>
      <c r="AA50" s="44">
        <f t="shared" si="131"/>
        <v>24829.7</v>
      </c>
      <c r="AB50" s="44">
        <f t="shared" si="131"/>
        <v>446.81</v>
      </c>
      <c r="AC50" s="44">
        <f t="shared" si="131"/>
        <v>0</v>
      </c>
      <c r="AD50" s="44">
        <f t="shared" si="131"/>
        <v>25276.510000000002</v>
      </c>
      <c r="AE50" s="44">
        <f t="shared" si="131"/>
        <v>446.81</v>
      </c>
      <c r="AF50" s="44">
        <f t="shared" si="131"/>
        <v>0</v>
      </c>
      <c r="AG50" s="44">
        <f t="shared" si="131"/>
        <v>25723.320000000003</v>
      </c>
      <c r="AH50" s="44">
        <f t="shared" si="131"/>
        <v>446.81</v>
      </c>
      <c r="AI50" s="44">
        <f t="shared" si="131"/>
        <v>0</v>
      </c>
      <c r="AJ50" s="44">
        <f t="shared" si="131"/>
        <v>26170.13</v>
      </c>
      <c r="AK50" s="44">
        <f t="shared" si="131"/>
        <v>0</v>
      </c>
      <c r="AL50" s="44">
        <f t="shared" si="131"/>
        <v>0</v>
      </c>
      <c r="AM50" s="44">
        <f t="shared" si="131"/>
        <v>26170.13</v>
      </c>
      <c r="AN50" s="44">
        <f t="shared" si="131"/>
        <v>0</v>
      </c>
      <c r="AO50" s="44">
        <f t="shared" si="131"/>
        <v>0</v>
      </c>
      <c r="AP50" s="44">
        <f t="shared" si="131"/>
        <v>26170.13</v>
      </c>
      <c r="AQ50" s="44">
        <f t="shared" si="131"/>
        <v>0</v>
      </c>
      <c r="AR50" s="44">
        <f t="shared" si="131"/>
        <v>0</v>
      </c>
      <c r="AS50" s="44">
        <f t="shared" si="131"/>
        <v>26170.13</v>
      </c>
      <c r="AT50" s="44">
        <f t="shared" si="131"/>
        <v>0</v>
      </c>
      <c r="AU50" s="44">
        <f t="shared" si="131"/>
        <v>0</v>
      </c>
      <c r="AV50" s="44">
        <f t="shared" si="131"/>
        <v>0</v>
      </c>
      <c r="AW50" s="44">
        <f t="shared" si="131"/>
        <v>0</v>
      </c>
      <c r="AX50" s="44">
        <f t="shared" si="131"/>
        <v>0</v>
      </c>
      <c r="AY50" s="44">
        <f t="shared" si="131"/>
        <v>1787.2400000000002</v>
      </c>
      <c r="AZ50" s="44">
        <f t="shared" si="131"/>
        <v>1340.4300000000003</v>
      </c>
      <c r="BA50" s="44">
        <f t="shared" si="131"/>
        <v>893.62000000000012</v>
      </c>
      <c r="BB50" s="44">
        <f t="shared" si="131"/>
        <v>446.81000000000017</v>
      </c>
      <c r="BC50" s="44">
        <f t="shared" ref="BC50:BF50" si="132">SUM(BC46:BC49)</f>
        <v>0</v>
      </c>
      <c r="BD50" s="44">
        <f t="shared" si="132"/>
        <v>0</v>
      </c>
      <c r="BE50" s="44">
        <f t="shared" si="132"/>
        <v>0</v>
      </c>
      <c r="BF50" s="44">
        <f t="shared" si="132"/>
        <v>0</v>
      </c>
    </row>
    <row r="52" spans="1:58" x14ac:dyDescent="0.15">
      <c r="A52" s="27" t="s">
        <v>105</v>
      </c>
      <c r="B52" s="28" t="s">
        <v>106</v>
      </c>
      <c r="C52" s="28" t="s">
        <v>107</v>
      </c>
      <c r="D52" s="29" t="s">
        <v>108</v>
      </c>
      <c r="E52" s="28" t="s">
        <v>109</v>
      </c>
      <c r="F52" s="30" t="s">
        <v>110</v>
      </c>
      <c r="G52" s="30" t="s">
        <v>111</v>
      </c>
      <c r="H52" s="28" t="s">
        <v>109</v>
      </c>
      <c r="I52" s="28" t="s">
        <v>112</v>
      </c>
      <c r="J52" s="30" t="s">
        <v>110</v>
      </c>
      <c r="K52" s="30" t="s">
        <v>111</v>
      </c>
      <c r="L52" s="28" t="s">
        <v>112</v>
      </c>
      <c r="M52" s="30" t="s">
        <v>110</v>
      </c>
      <c r="N52" s="30" t="s">
        <v>111</v>
      </c>
      <c r="O52" s="28" t="s">
        <v>112</v>
      </c>
      <c r="P52" s="30" t="s">
        <v>110</v>
      </c>
      <c r="Q52" s="30" t="s">
        <v>111</v>
      </c>
      <c r="R52" s="28" t="s">
        <v>112</v>
      </c>
      <c r="S52" s="30" t="s">
        <v>110</v>
      </c>
      <c r="T52" s="30" t="s">
        <v>111</v>
      </c>
      <c r="U52" s="28" t="s">
        <v>112</v>
      </c>
      <c r="V52" s="30" t="s">
        <v>110</v>
      </c>
      <c r="W52" s="30" t="s">
        <v>111</v>
      </c>
      <c r="X52" s="28" t="s">
        <v>112</v>
      </c>
      <c r="Y52" s="30" t="s">
        <v>110</v>
      </c>
      <c r="Z52" s="30" t="s">
        <v>111</v>
      </c>
      <c r="AA52" s="28" t="s">
        <v>112</v>
      </c>
      <c r="AB52" s="30" t="s">
        <v>110</v>
      </c>
      <c r="AC52" s="30" t="s">
        <v>111</v>
      </c>
      <c r="AD52" s="28" t="s">
        <v>112</v>
      </c>
      <c r="AE52" s="30" t="s">
        <v>110</v>
      </c>
      <c r="AF52" s="30" t="s">
        <v>111</v>
      </c>
      <c r="AG52" s="28" t="s">
        <v>112</v>
      </c>
      <c r="AH52" s="30" t="s">
        <v>110</v>
      </c>
      <c r="AI52" s="30" t="s">
        <v>111</v>
      </c>
      <c r="AJ52" s="28" t="s">
        <v>112</v>
      </c>
      <c r="AK52" s="30" t="s">
        <v>110</v>
      </c>
      <c r="AL52" s="30" t="s">
        <v>111</v>
      </c>
      <c r="AM52" s="28" t="s">
        <v>112</v>
      </c>
      <c r="AN52" s="30" t="s">
        <v>110</v>
      </c>
      <c r="AO52" s="30" t="s">
        <v>111</v>
      </c>
      <c r="AP52" s="28" t="s">
        <v>112</v>
      </c>
      <c r="AQ52" s="30" t="s">
        <v>110</v>
      </c>
      <c r="AR52" s="30" t="s">
        <v>111</v>
      </c>
      <c r="AS52" s="28" t="s">
        <v>112</v>
      </c>
      <c r="AT52" s="28" t="s">
        <v>113</v>
      </c>
      <c r="AU52" s="28" t="s">
        <v>113</v>
      </c>
      <c r="AV52" s="28" t="s">
        <v>113</v>
      </c>
      <c r="AW52" s="28" t="s">
        <v>113</v>
      </c>
      <c r="AX52" s="28" t="s">
        <v>113</v>
      </c>
      <c r="AY52" s="28" t="s">
        <v>113</v>
      </c>
      <c r="AZ52" s="28" t="s">
        <v>113</v>
      </c>
      <c r="BA52" s="28" t="s">
        <v>113</v>
      </c>
      <c r="BB52" s="28" t="s">
        <v>113</v>
      </c>
      <c r="BC52" s="28" t="s">
        <v>113</v>
      </c>
      <c r="BD52" s="28" t="s">
        <v>113</v>
      </c>
      <c r="BE52" s="28" t="s">
        <v>113</v>
      </c>
      <c r="BF52" s="28" t="s">
        <v>113</v>
      </c>
    </row>
    <row r="53" spans="1:58" x14ac:dyDescent="0.15">
      <c r="A53" s="31"/>
      <c r="B53" s="32"/>
      <c r="C53" s="32"/>
      <c r="D53" s="33"/>
      <c r="E53" s="32" t="s">
        <v>114</v>
      </c>
      <c r="F53" s="32"/>
      <c r="G53" s="32"/>
      <c r="H53" s="32" t="s">
        <v>115</v>
      </c>
      <c r="I53" s="32" t="s">
        <v>116</v>
      </c>
      <c r="J53" s="32">
        <v>2014</v>
      </c>
      <c r="K53" s="32">
        <v>2014</v>
      </c>
      <c r="L53" s="32" t="s">
        <v>116</v>
      </c>
      <c r="M53" s="32">
        <v>2015</v>
      </c>
      <c r="N53" s="32">
        <v>2015</v>
      </c>
      <c r="O53" s="32" t="s">
        <v>116</v>
      </c>
      <c r="P53" s="32">
        <v>2016</v>
      </c>
      <c r="Q53" s="32">
        <v>2016</v>
      </c>
      <c r="R53" s="32" t="s">
        <v>116</v>
      </c>
      <c r="S53" s="32">
        <v>2017</v>
      </c>
      <c r="T53" s="32">
        <v>2017</v>
      </c>
      <c r="U53" s="32" t="s">
        <v>116</v>
      </c>
      <c r="V53" s="32">
        <v>2018</v>
      </c>
      <c r="W53" s="32">
        <v>2018</v>
      </c>
      <c r="X53" s="32" t="s">
        <v>116</v>
      </c>
      <c r="Y53" s="32">
        <v>2019</v>
      </c>
      <c r="Z53" s="32">
        <v>2019</v>
      </c>
      <c r="AA53" s="32" t="s">
        <v>116</v>
      </c>
      <c r="AB53" s="32">
        <v>2020</v>
      </c>
      <c r="AC53" s="32">
        <v>2020</v>
      </c>
      <c r="AD53" s="32" t="s">
        <v>116</v>
      </c>
      <c r="AE53" s="32">
        <v>2021</v>
      </c>
      <c r="AF53" s="32">
        <v>2021</v>
      </c>
      <c r="AG53" s="32" t="s">
        <v>116</v>
      </c>
      <c r="AH53" s="32">
        <v>2022</v>
      </c>
      <c r="AI53" s="32">
        <v>2022</v>
      </c>
      <c r="AJ53" s="32" t="s">
        <v>116</v>
      </c>
      <c r="AK53" s="32">
        <v>2023</v>
      </c>
      <c r="AL53" s="32">
        <v>2023</v>
      </c>
      <c r="AM53" s="32" t="s">
        <v>116</v>
      </c>
      <c r="AN53" s="32">
        <v>2024</v>
      </c>
      <c r="AO53" s="32">
        <v>2024</v>
      </c>
      <c r="AP53" s="32" t="s">
        <v>116</v>
      </c>
      <c r="AQ53" s="32">
        <v>2025</v>
      </c>
      <c r="AR53" s="32">
        <v>2025</v>
      </c>
      <c r="AS53" s="32" t="s">
        <v>116</v>
      </c>
      <c r="AT53" s="32" t="s">
        <v>117</v>
      </c>
      <c r="AU53" s="32" t="s">
        <v>117</v>
      </c>
      <c r="AV53" s="32" t="s">
        <v>117</v>
      </c>
      <c r="AW53" s="32" t="s">
        <v>117</v>
      </c>
      <c r="AX53" s="32" t="s">
        <v>117</v>
      </c>
      <c r="AY53" s="32" t="s">
        <v>117</v>
      </c>
      <c r="AZ53" s="32" t="s">
        <v>117</v>
      </c>
      <c r="BA53" s="32" t="s">
        <v>117</v>
      </c>
      <c r="BB53" s="32" t="s">
        <v>117</v>
      </c>
      <c r="BC53" s="32" t="s">
        <v>117</v>
      </c>
      <c r="BD53" s="32" t="s">
        <v>117</v>
      </c>
      <c r="BE53" s="32" t="s">
        <v>117</v>
      </c>
      <c r="BF53" s="32" t="s">
        <v>117</v>
      </c>
    </row>
    <row r="54" spans="1:58" x14ac:dyDescent="0.15">
      <c r="A54" s="34"/>
      <c r="B54" s="35"/>
      <c r="C54" s="35"/>
      <c r="D54" s="36"/>
      <c r="E54" s="13"/>
      <c r="F54" s="13"/>
      <c r="G54" s="13"/>
      <c r="H54" s="13"/>
      <c r="I54" s="37">
        <v>41639</v>
      </c>
      <c r="J54" s="13"/>
      <c r="K54" s="13"/>
      <c r="L54" s="37">
        <v>42004</v>
      </c>
      <c r="M54" s="13"/>
      <c r="N54" s="13"/>
      <c r="O54" s="37">
        <v>42369</v>
      </c>
      <c r="P54" s="13"/>
      <c r="Q54" s="13"/>
      <c r="R54" s="37">
        <v>42735</v>
      </c>
      <c r="S54" s="13"/>
      <c r="T54" s="13"/>
      <c r="U54" s="37">
        <v>43100</v>
      </c>
      <c r="V54" s="13"/>
      <c r="W54" s="13"/>
      <c r="X54" s="37">
        <v>43465</v>
      </c>
      <c r="Y54" s="13"/>
      <c r="Z54" s="13"/>
      <c r="AA54" s="37">
        <v>43830</v>
      </c>
      <c r="AB54" s="13"/>
      <c r="AC54" s="13"/>
      <c r="AD54" s="37">
        <v>44196</v>
      </c>
      <c r="AE54" s="13"/>
      <c r="AF54" s="13"/>
      <c r="AG54" s="37">
        <v>44561</v>
      </c>
      <c r="AH54" s="13"/>
      <c r="AI54" s="13"/>
      <c r="AJ54" s="37">
        <v>44926</v>
      </c>
      <c r="AK54" s="13"/>
      <c r="AL54" s="13"/>
      <c r="AM54" s="37">
        <v>45291</v>
      </c>
      <c r="AN54" s="13"/>
      <c r="AO54" s="13"/>
      <c r="AP54" s="37">
        <v>45657</v>
      </c>
      <c r="AQ54" s="13"/>
      <c r="AR54" s="13"/>
      <c r="AS54" s="37">
        <v>46022</v>
      </c>
      <c r="AT54" s="38">
        <v>41639</v>
      </c>
      <c r="AU54" s="38">
        <v>42004</v>
      </c>
      <c r="AV54" s="38">
        <v>42369</v>
      </c>
      <c r="AW54" s="38">
        <v>42735</v>
      </c>
      <c r="AX54" s="38">
        <v>43100</v>
      </c>
      <c r="AY54" s="38">
        <v>43465</v>
      </c>
      <c r="AZ54" s="38">
        <v>43830</v>
      </c>
      <c r="BA54" s="38">
        <v>44196</v>
      </c>
      <c r="BB54" s="38">
        <v>44561</v>
      </c>
      <c r="BC54" s="38">
        <v>44926</v>
      </c>
      <c r="BD54" s="38">
        <v>45291</v>
      </c>
      <c r="BE54" s="38">
        <v>45657</v>
      </c>
      <c r="BF54" s="38">
        <v>46022</v>
      </c>
    </row>
    <row r="55" spans="1:58" x14ac:dyDescent="0.15">
      <c r="A55" s="39" t="s">
        <v>153</v>
      </c>
      <c r="B55" s="2" t="s">
        <v>159</v>
      </c>
      <c r="C55" s="39" t="s">
        <v>146</v>
      </c>
      <c r="D55" s="40">
        <v>0.2</v>
      </c>
      <c r="E55" s="6">
        <v>1171.79</v>
      </c>
      <c r="F55" s="6"/>
      <c r="G55" s="6"/>
      <c r="H55" s="6">
        <f>+E55+F55+G55</f>
        <v>1171.79</v>
      </c>
      <c r="I55" s="6">
        <v>1171.79</v>
      </c>
      <c r="J55" s="6"/>
      <c r="K55" s="6"/>
      <c r="L55" s="6">
        <f>+I55+J55+K55</f>
        <v>1171.79</v>
      </c>
      <c r="M55" s="6"/>
      <c r="N55" s="6"/>
      <c r="O55" s="6">
        <f>+L55+M55+N55</f>
        <v>1171.79</v>
      </c>
      <c r="P55" s="6"/>
      <c r="Q55" s="6"/>
      <c r="R55" s="6">
        <f t="shared" ref="R55:R60" si="133">+O55+P55+Q55</f>
        <v>1171.79</v>
      </c>
      <c r="S55" s="6"/>
      <c r="T55" s="6"/>
      <c r="U55" s="6">
        <f t="shared" ref="U55:U60" si="134">+R55+S55+T55</f>
        <v>1171.79</v>
      </c>
      <c r="V55" s="6"/>
      <c r="W55" s="6"/>
      <c r="X55" s="6">
        <f t="shared" ref="X55:X61" si="135">+U55+V55+W55</f>
        <v>1171.79</v>
      </c>
      <c r="Y55" s="6"/>
      <c r="Z55" s="6"/>
      <c r="AA55" s="6">
        <f t="shared" ref="AA55:AA61" si="136">+X55+Y55+Z55</f>
        <v>1171.79</v>
      </c>
      <c r="AB55" s="6"/>
      <c r="AC55" s="6"/>
      <c r="AD55" s="6">
        <f t="shared" ref="AD55:AD61" si="137">+AA55+AB55+AC55</f>
        <v>1171.79</v>
      </c>
      <c r="AE55" s="6"/>
      <c r="AF55" s="6"/>
      <c r="AG55" s="6">
        <f t="shared" ref="AG55:AG61" si="138">+AD55+AE55+AF55</f>
        <v>1171.79</v>
      </c>
      <c r="AH55" s="6"/>
      <c r="AI55" s="6"/>
      <c r="AJ55" s="6">
        <f t="shared" ref="AJ55:AJ61" si="139">+AG55+AH55+AI55</f>
        <v>1171.79</v>
      </c>
      <c r="AK55" s="6"/>
      <c r="AL55" s="6"/>
      <c r="AM55" s="6">
        <f t="shared" ref="AM55:AM61" si="140">+AJ55+AK55+AL55</f>
        <v>1171.79</v>
      </c>
      <c r="AN55" s="6"/>
      <c r="AO55" s="6"/>
      <c r="AP55" s="6">
        <f t="shared" ref="AP55:AP61" si="141">+AM55+AN55+AO55</f>
        <v>1171.79</v>
      </c>
      <c r="AQ55" s="6"/>
      <c r="AR55" s="6"/>
      <c r="AS55" s="6">
        <f t="shared" ref="AS55:AS61" si="142">+AP55+AQ55+AR55</f>
        <v>1171.79</v>
      </c>
      <c r="AT55" s="6">
        <f t="shared" ref="AT55:AT60" si="143">+H55-I55</f>
        <v>0</v>
      </c>
      <c r="AU55" s="6">
        <f t="shared" ref="AU55:AU60" si="144">+H55-L55</f>
        <v>0</v>
      </c>
      <c r="AV55" s="6">
        <f t="shared" ref="AV55:AV60" si="145">+H55-O55</f>
        <v>0</v>
      </c>
      <c r="AW55" s="6">
        <f t="shared" ref="AW55:AW60" si="146">+H55-R55</f>
        <v>0</v>
      </c>
      <c r="AX55" s="6">
        <f t="shared" ref="AX55:AX60" si="147">+H55-U55</f>
        <v>0</v>
      </c>
      <c r="AY55" s="6">
        <f t="shared" ref="AY55:AY61" si="148">+H55-X55</f>
        <v>0</v>
      </c>
      <c r="AZ55" s="6">
        <f t="shared" ref="AZ55:AZ61" si="149">+H55-AA55</f>
        <v>0</v>
      </c>
      <c r="BA55" s="6">
        <f t="shared" ref="BA55:BA61" si="150">+H55-AD55</f>
        <v>0</v>
      </c>
      <c r="BB55" s="6">
        <f t="shared" ref="BB55:BB61" si="151">+H55-AG55</f>
        <v>0</v>
      </c>
      <c r="BC55" s="6">
        <f t="shared" ref="BC55:BC61" si="152">+$H55-AJ55</f>
        <v>0</v>
      </c>
      <c r="BD55" s="6">
        <f t="shared" ref="BD55:BD61" si="153">+$H55-AM55</f>
        <v>0</v>
      </c>
      <c r="BE55" s="6">
        <f t="shared" ref="BE55:BE61" si="154">+$H55-AP55</f>
        <v>0</v>
      </c>
      <c r="BF55" s="6">
        <f t="shared" ref="BF55:BF61" si="155">+$H55-AS55</f>
        <v>0</v>
      </c>
    </row>
    <row r="56" spans="1:58" x14ac:dyDescent="0.15">
      <c r="A56" s="39" t="s">
        <v>160</v>
      </c>
      <c r="B56" s="2" t="s">
        <v>161</v>
      </c>
      <c r="C56" s="39" t="s">
        <v>146</v>
      </c>
      <c r="D56" s="40">
        <v>0.2</v>
      </c>
      <c r="E56" s="6">
        <v>5577.59</v>
      </c>
      <c r="F56" s="6"/>
      <c r="G56" s="6"/>
      <c r="H56" s="6">
        <f t="shared" ref="H56:H61" si="156">+E56+F56+G56</f>
        <v>5577.59</v>
      </c>
      <c r="I56" s="6">
        <v>5577.59</v>
      </c>
      <c r="J56" s="6"/>
      <c r="K56" s="6"/>
      <c r="L56" s="6">
        <f t="shared" ref="L56:L60" si="157">+I56+J56+K56</f>
        <v>5577.59</v>
      </c>
      <c r="M56" s="6"/>
      <c r="N56" s="6"/>
      <c r="O56" s="6">
        <f t="shared" ref="O56:O58" si="158">+L56+M56+N56</f>
        <v>5577.59</v>
      </c>
      <c r="P56" s="6"/>
      <c r="Q56" s="6"/>
      <c r="R56" s="6">
        <f t="shared" si="133"/>
        <v>5577.59</v>
      </c>
      <c r="S56" s="6"/>
      <c r="T56" s="6"/>
      <c r="U56" s="6">
        <f t="shared" si="134"/>
        <v>5577.59</v>
      </c>
      <c r="V56" s="6"/>
      <c r="W56" s="6"/>
      <c r="X56" s="6">
        <f t="shared" si="135"/>
        <v>5577.59</v>
      </c>
      <c r="Y56" s="6"/>
      <c r="Z56" s="6"/>
      <c r="AA56" s="6">
        <f t="shared" si="136"/>
        <v>5577.59</v>
      </c>
      <c r="AB56" s="6"/>
      <c r="AC56" s="6"/>
      <c r="AD56" s="6">
        <f t="shared" si="137"/>
        <v>5577.59</v>
      </c>
      <c r="AE56" s="6"/>
      <c r="AF56" s="6"/>
      <c r="AG56" s="6">
        <f t="shared" si="138"/>
        <v>5577.59</v>
      </c>
      <c r="AH56" s="6"/>
      <c r="AI56" s="6"/>
      <c r="AJ56" s="6">
        <f t="shared" si="139"/>
        <v>5577.59</v>
      </c>
      <c r="AK56" s="6"/>
      <c r="AL56" s="6"/>
      <c r="AM56" s="6">
        <f t="shared" si="140"/>
        <v>5577.59</v>
      </c>
      <c r="AN56" s="6"/>
      <c r="AO56" s="6"/>
      <c r="AP56" s="6">
        <f t="shared" si="141"/>
        <v>5577.59</v>
      </c>
      <c r="AQ56" s="6"/>
      <c r="AR56" s="6"/>
      <c r="AS56" s="6">
        <f t="shared" si="142"/>
        <v>5577.59</v>
      </c>
      <c r="AT56" s="6">
        <f t="shared" si="143"/>
        <v>0</v>
      </c>
      <c r="AU56" s="6">
        <f t="shared" si="144"/>
        <v>0</v>
      </c>
      <c r="AV56" s="6">
        <f t="shared" si="145"/>
        <v>0</v>
      </c>
      <c r="AW56" s="6">
        <f t="shared" si="146"/>
        <v>0</v>
      </c>
      <c r="AX56" s="6">
        <f t="shared" si="147"/>
        <v>0</v>
      </c>
      <c r="AY56" s="6">
        <f t="shared" si="148"/>
        <v>0</v>
      </c>
      <c r="AZ56" s="6">
        <f t="shared" si="149"/>
        <v>0</v>
      </c>
      <c r="BA56" s="6">
        <f t="shared" si="150"/>
        <v>0</v>
      </c>
      <c r="BB56" s="6">
        <f t="shared" si="151"/>
        <v>0</v>
      </c>
      <c r="BC56" s="6">
        <f t="shared" si="152"/>
        <v>0</v>
      </c>
      <c r="BD56" s="6">
        <f t="shared" si="153"/>
        <v>0</v>
      </c>
      <c r="BE56" s="6">
        <f t="shared" si="154"/>
        <v>0</v>
      </c>
      <c r="BF56" s="6">
        <f t="shared" si="155"/>
        <v>0</v>
      </c>
    </row>
    <row r="57" spans="1:58" x14ac:dyDescent="0.15">
      <c r="A57" s="39" t="s">
        <v>130</v>
      </c>
      <c r="B57" s="2" t="s">
        <v>162</v>
      </c>
      <c r="C57" s="39" t="s">
        <v>146</v>
      </c>
      <c r="D57" s="40">
        <v>0.2</v>
      </c>
      <c r="E57" s="6">
        <v>1127</v>
      </c>
      <c r="F57" s="6"/>
      <c r="G57" s="6"/>
      <c r="H57" s="6">
        <f t="shared" si="156"/>
        <v>1127</v>
      </c>
      <c r="I57" s="6">
        <v>1127</v>
      </c>
      <c r="J57" s="6"/>
      <c r="K57" s="6"/>
      <c r="L57" s="6">
        <f t="shared" si="157"/>
        <v>1127</v>
      </c>
      <c r="M57" s="6"/>
      <c r="N57" s="6"/>
      <c r="O57" s="6">
        <f t="shared" si="158"/>
        <v>1127</v>
      </c>
      <c r="P57" s="6"/>
      <c r="Q57" s="6"/>
      <c r="R57" s="6">
        <f t="shared" si="133"/>
        <v>1127</v>
      </c>
      <c r="S57" s="6"/>
      <c r="T57" s="6"/>
      <c r="U57" s="6">
        <f t="shared" si="134"/>
        <v>1127</v>
      </c>
      <c r="V57" s="6"/>
      <c r="W57" s="6"/>
      <c r="X57" s="6">
        <f t="shared" si="135"/>
        <v>1127</v>
      </c>
      <c r="Y57" s="6"/>
      <c r="Z57" s="6"/>
      <c r="AA57" s="6">
        <f t="shared" si="136"/>
        <v>1127</v>
      </c>
      <c r="AB57" s="6"/>
      <c r="AC57" s="6"/>
      <c r="AD57" s="6">
        <f t="shared" si="137"/>
        <v>1127</v>
      </c>
      <c r="AE57" s="6"/>
      <c r="AF57" s="6"/>
      <c r="AG57" s="6">
        <f t="shared" si="138"/>
        <v>1127</v>
      </c>
      <c r="AH57" s="6"/>
      <c r="AI57" s="6"/>
      <c r="AJ57" s="6">
        <f t="shared" si="139"/>
        <v>1127</v>
      </c>
      <c r="AK57" s="6"/>
      <c r="AL57" s="6"/>
      <c r="AM57" s="6">
        <f t="shared" si="140"/>
        <v>1127</v>
      </c>
      <c r="AN57" s="6"/>
      <c r="AO57" s="6"/>
      <c r="AP57" s="6">
        <f t="shared" si="141"/>
        <v>1127</v>
      </c>
      <c r="AQ57" s="6"/>
      <c r="AR57" s="6"/>
      <c r="AS57" s="6">
        <f t="shared" si="142"/>
        <v>1127</v>
      </c>
      <c r="AT57" s="6">
        <f t="shared" si="143"/>
        <v>0</v>
      </c>
      <c r="AU57" s="6">
        <f t="shared" si="144"/>
        <v>0</v>
      </c>
      <c r="AV57" s="6">
        <f t="shared" si="145"/>
        <v>0</v>
      </c>
      <c r="AW57" s="6">
        <f t="shared" si="146"/>
        <v>0</v>
      </c>
      <c r="AX57" s="6">
        <f t="shared" si="147"/>
        <v>0</v>
      </c>
      <c r="AY57" s="6">
        <f t="shared" si="148"/>
        <v>0</v>
      </c>
      <c r="AZ57" s="6">
        <f t="shared" si="149"/>
        <v>0</v>
      </c>
      <c r="BA57" s="6">
        <f t="shared" si="150"/>
        <v>0</v>
      </c>
      <c r="BB57" s="6">
        <f t="shared" si="151"/>
        <v>0</v>
      </c>
      <c r="BC57" s="6">
        <f t="shared" si="152"/>
        <v>0</v>
      </c>
      <c r="BD57" s="6">
        <f t="shared" si="153"/>
        <v>0</v>
      </c>
      <c r="BE57" s="6">
        <f t="shared" si="154"/>
        <v>0</v>
      </c>
      <c r="BF57" s="6">
        <f t="shared" si="155"/>
        <v>0</v>
      </c>
    </row>
    <row r="58" spans="1:58" x14ac:dyDescent="0.15">
      <c r="A58" s="39" t="s">
        <v>132</v>
      </c>
      <c r="B58" s="2" t="s">
        <v>162</v>
      </c>
      <c r="C58" s="39" t="s">
        <v>146</v>
      </c>
      <c r="D58" s="40">
        <v>0.2</v>
      </c>
      <c r="E58" s="6">
        <v>1151.5</v>
      </c>
      <c r="F58" s="6"/>
      <c r="G58" s="6"/>
      <c r="H58" s="6">
        <f t="shared" si="156"/>
        <v>1151.5</v>
      </c>
      <c r="I58" s="6">
        <v>1151.5</v>
      </c>
      <c r="J58" s="6"/>
      <c r="K58" s="6"/>
      <c r="L58" s="6">
        <f t="shared" si="157"/>
        <v>1151.5</v>
      </c>
      <c r="M58" s="6"/>
      <c r="N58" s="6"/>
      <c r="O58" s="6">
        <f t="shared" si="158"/>
        <v>1151.5</v>
      </c>
      <c r="P58" s="6"/>
      <c r="Q58" s="6"/>
      <c r="R58" s="6">
        <f t="shared" si="133"/>
        <v>1151.5</v>
      </c>
      <c r="S58" s="6"/>
      <c r="T58" s="6"/>
      <c r="U58" s="6">
        <f t="shared" si="134"/>
        <v>1151.5</v>
      </c>
      <c r="V58" s="6"/>
      <c r="W58" s="6"/>
      <c r="X58" s="6">
        <f t="shared" si="135"/>
        <v>1151.5</v>
      </c>
      <c r="Y58" s="6"/>
      <c r="Z58" s="6"/>
      <c r="AA58" s="6">
        <f t="shared" si="136"/>
        <v>1151.5</v>
      </c>
      <c r="AB58" s="6"/>
      <c r="AC58" s="6"/>
      <c r="AD58" s="6">
        <f t="shared" si="137"/>
        <v>1151.5</v>
      </c>
      <c r="AE58" s="6"/>
      <c r="AF58" s="6"/>
      <c r="AG58" s="6">
        <f t="shared" si="138"/>
        <v>1151.5</v>
      </c>
      <c r="AH58" s="6"/>
      <c r="AI58" s="6"/>
      <c r="AJ58" s="6">
        <f t="shared" si="139"/>
        <v>1151.5</v>
      </c>
      <c r="AK58" s="6"/>
      <c r="AL58" s="6"/>
      <c r="AM58" s="6">
        <f t="shared" si="140"/>
        <v>1151.5</v>
      </c>
      <c r="AN58" s="6"/>
      <c r="AO58" s="6"/>
      <c r="AP58" s="6">
        <f t="shared" si="141"/>
        <v>1151.5</v>
      </c>
      <c r="AQ58" s="6"/>
      <c r="AR58" s="6"/>
      <c r="AS58" s="6">
        <f t="shared" si="142"/>
        <v>1151.5</v>
      </c>
      <c r="AT58" s="6">
        <f t="shared" si="143"/>
        <v>0</v>
      </c>
      <c r="AU58" s="6">
        <f t="shared" si="144"/>
        <v>0</v>
      </c>
      <c r="AV58" s="6">
        <f t="shared" si="145"/>
        <v>0</v>
      </c>
      <c r="AW58" s="6">
        <f t="shared" si="146"/>
        <v>0</v>
      </c>
      <c r="AX58" s="6">
        <f t="shared" si="147"/>
        <v>0</v>
      </c>
      <c r="AY58" s="6">
        <f t="shared" si="148"/>
        <v>0</v>
      </c>
      <c r="AZ58" s="6">
        <f t="shared" si="149"/>
        <v>0</v>
      </c>
      <c r="BA58" s="6">
        <f t="shared" si="150"/>
        <v>0</v>
      </c>
      <c r="BB58" s="6">
        <f t="shared" si="151"/>
        <v>0</v>
      </c>
      <c r="BC58" s="6">
        <f t="shared" si="152"/>
        <v>0</v>
      </c>
      <c r="BD58" s="6">
        <f t="shared" si="153"/>
        <v>0</v>
      </c>
      <c r="BE58" s="6">
        <f t="shared" si="154"/>
        <v>0</v>
      </c>
      <c r="BF58" s="6">
        <f t="shared" si="155"/>
        <v>0</v>
      </c>
    </row>
    <row r="59" spans="1:58" x14ac:dyDescent="0.15">
      <c r="A59" s="39" t="s">
        <v>163</v>
      </c>
      <c r="B59" s="2" t="s">
        <v>164</v>
      </c>
      <c r="C59" s="39" t="s">
        <v>146</v>
      </c>
      <c r="D59" s="40">
        <v>0.2</v>
      </c>
      <c r="E59" s="6">
        <v>1054.21</v>
      </c>
      <c r="F59" s="6"/>
      <c r="G59" s="6"/>
      <c r="H59" s="6">
        <f t="shared" si="156"/>
        <v>1054.21</v>
      </c>
      <c r="I59" s="6">
        <v>632.52</v>
      </c>
      <c r="J59" s="6">
        <f>+ROUND(+$H59*$D59,2)</f>
        <v>210.84</v>
      </c>
      <c r="K59" s="6"/>
      <c r="L59" s="6">
        <f t="shared" si="157"/>
        <v>843.36</v>
      </c>
      <c r="M59" s="6">
        <f>+ROUND(+$H59*$D59,2)</f>
        <v>210.84</v>
      </c>
      <c r="N59" s="6"/>
      <c r="O59" s="6">
        <f>+L59+M59+N59+0.01</f>
        <v>1054.21</v>
      </c>
      <c r="P59" s="6"/>
      <c r="Q59" s="6"/>
      <c r="R59" s="6">
        <f t="shared" si="133"/>
        <v>1054.21</v>
      </c>
      <c r="S59" s="6"/>
      <c r="T59" s="6"/>
      <c r="U59" s="6">
        <f t="shared" si="134"/>
        <v>1054.21</v>
      </c>
      <c r="V59" s="6"/>
      <c r="W59" s="6"/>
      <c r="X59" s="6">
        <f t="shared" si="135"/>
        <v>1054.21</v>
      </c>
      <c r="Y59" s="6"/>
      <c r="Z59" s="6"/>
      <c r="AA59" s="6">
        <f t="shared" si="136"/>
        <v>1054.21</v>
      </c>
      <c r="AB59" s="6"/>
      <c r="AC59" s="6"/>
      <c r="AD59" s="6">
        <f t="shared" si="137"/>
        <v>1054.21</v>
      </c>
      <c r="AE59" s="6"/>
      <c r="AF59" s="6"/>
      <c r="AG59" s="6">
        <f t="shared" si="138"/>
        <v>1054.21</v>
      </c>
      <c r="AH59" s="6"/>
      <c r="AI59" s="6"/>
      <c r="AJ59" s="6">
        <f t="shared" si="139"/>
        <v>1054.21</v>
      </c>
      <c r="AK59" s="6"/>
      <c r="AL59" s="6"/>
      <c r="AM59" s="6">
        <f t="shared" si="140"/>
        <v>1054.21</v>
      </c>
      <c r="AN59" s="6"/>
      <c r="AO59" s="6"/>
      <c r="AP59" s="6">
        <f t="shared" si="141"/>
        <v>1054.21</v>
      </c>
      <c r="AQ59" s="6"/>
      <c r="AR59" s="6"/>
      <c r="AS59" s="6">
        <f t="shared" si="142"/>
        <v>1054.21</v>
      </c>
      <c r="AT59" s="6">
        <f t="shared" si="143"/>
        <v>421.69000000000005</v>
      </c>
      <c r="AU59" s="6">
        <f t="shared" si="144"/>
        <v>210.85000000000002</v>
      </c>
      <c r="AV59" s="6">
        <f t="shared" si="145"/>
        <v>0</v>
      </c>
      <c r="AW59" s="6">
        <f t="shared" si="146"/>
        <v>0</v>
      </c>
      <c r="AX59" s="6">
        <f t="shared" si="147"/>
        <v>0</v>
      </c>
      <c r="AY59" s="6">
        <f t="shared" si="148"/>
        <v>0</v>
      </c>
      <c r="AZ59" s="6">
        <f t="shared" si="149"/>
        <v>0</v>
      </c>
      <c r="BA59" s="6">
        <f t="shared" si="150"/>
        <v>0</v>
      </c>
      <c r="BB59" s="6">
        <f t="shared" si="151"/>
        <v>0</v>
      </c>
      <c r="BC59" s="6">
        <f t="shared" si="152"/>
        <v>0</v>
      </c>
      <c r="BD59" s="6">
        <f t="shared" si="153"/>
        <v>0</v>
      </c>
      <c r="BE59" s="6">
        <f t="shared" si="154"/>
        <v>0</v>
      </c>
      <c r="BF59" s="6">
        <f t="shared" si="155"/>
        <v>0</v>
      </c>
    </row>
    <row r="60" spans="1:58" x14ac:dyDescent="0.15">
      <c r="A60" s="39" t="s">
        <v>139</v>
      </c>
      <c r="B60" s="2" t="s">
        <v>165</v>
      </c>
      <c r="C60" s="39" t="s">
        <v>146</v>
      </c>
      <c r="D60" s="40">
        <v>0.33329999999999999</v>
      </c>
      <c r="E60" s="6">
        <v>775.73</v>
      </c>
      <c r="F60" s="6"/>
      <c r="G60" s="6"/>
      <c r="H60" s="6">
        <f t="shared" si="156"/>
        <v>775.73</v>
      </c>
      <c r="I60" s="6">
        <v>258.58</v>
      </c>
      <c r="J60" s="6">
        <f>+ROUND(+$H60*$D60,2)</f>
        <v>258.55</v>
      </c>
      <c r="K60" s="6"/>
      <c r="L60" s="6">
        <f t="shared" si="157"/>
        <v>517.13</v>
      </c>
      <c r="M60" s="6">
        <f>+ROUND(+$H60*$D60,2)</f>
        <v>258.55</v>
      </c>
      <c r="N60" s="6"/>
      <c r="O60" s="6">
        <f>+L60+M60+N60+0.05</f>
        <v>775.73</v>
      </c>
      <c r="P60" s="6"/>
      <c r="Q60" s="6"/>
      <c r="R60" s="6">
        <f t="shared" si="133"/>
        <v>775.73</v>
      </c>
      <c r="S60" s="6"/>
      <c r="T60" s="6"/>
      <c r="U60" s="6">
        <f t="shared" si="134"/>
        <v>775.73</v>
      </c>
      <c r="V60" s="6"/>
      <c r="W60" s="6"/>
      <c r="X60" s="6">
        <f t="shared" si="135"/>
        <v>775.73</v>
      </c>
      <c r="Y60" s="6"/>
      <c r="Z60" s="6"/>
      <c r="AA60" s="6">
        <f t="shared" si="136"/>
        <v>775.73</v>
      </c>
      <c r="AB60" s="6"/>
      <c r="AC60" s="6"/>
      <c r="AD60" s="6">
        <f t="shared" si="137"/>
        <v>775.73</v>
      </c>
      <c r="AE60" s="6"/>
      <c r="AF60" s="6"/>
      <c r="AG60" s="6">
        <f t="shared" si="138"/>
        <v>775.73</v>
      </c>
      <c r="AH60" s="6"/>
      <c r="AI60" s="6"/>
      <c r="AJ60" s="6">
        <f t="shared" si="139"/>
        <v>775.73</v>
      </c>
      <c r="AK60" s="6"/>
      <c r="AL60" s="6"/>
      <c r="AM60" s="6">
        <f t="shared" si="140"/>
        <v>775.73</v>
      </c>
      <c r="AN60" s="6"/>
      <c r="AO60" s="6"/>
      <c r="AP60" s="6">
        <f t="shared" si="141"/>
        <v>775.73</v>
      </c>
      <c r="AQ60" s="6"/>
      <c r="AR60" s="6"/>
      <c r="AS60" s="6">
        <f t="shared" si="142"/>
        <v>775.73</v>
      </c>
      <c r="AT60" s="6">
        <f t="shared" si="143"/>
        <v>517.15000000000009</v>
      </c>
      <c r="AU60" s="6">
        <f t="shared" si="144"/>
        <v>258.60000000000002</v>
      </c>
      <c r="AV60" s="6">
        <f t="shared" si="145"/>
        <v>0</v>
      </c>
      <c r="AW60" s="6">
        <f t="shared" si="146"/>
        <v>0</v>
      </c>
      <c r="AX60" s="6">
        <f t="shared" si="147"/>
        <v>0</v>
      </c>
      <c r="AY60" s="6">
        <f t="shared" si="148"/>
        <v>0</v>
      </c>
      <c r="AZ60" s="6">
        <f t="shared" si="149"/>
        <v>0</v>
      </c>
      <c r="BA60" s="6">
        <f t="shared" si="150"/>
        <v>0</v>
      </c>
      <c r="BB60" s="6">
        <f t="shared" si="151"/>
        <v>0</v>
      </c>
      <c r="BC60" s="6">
        <f t="shared" si="152"/>
        <v>0</v>
      </c>
      <c r="BD60" s="6">
        <f t="shared" si="153"/>
        <v>0</v>
      </c>
      <c r="BE60" s="6">
        <f t="shared" si="154"/>
        <v>0</v>
      </c>
      <c r="BF60" s="6">
        <f t="shared" si="155"/>
        <v>0</v>
      </c>
    </row>
    <row r="61" spans="1:58" x14ac:dyDescent="0.15">
      <c r="A61" s="39" t="s">
        <v>166</v>
      </c>
      <c r="B61" s="2" t="s">
        <v>167</v>
      </c>
      <c r="C61" s="39" t="s">
        <v>146</v>
      </c>
      <c r="D61" s="40">
        <v>0.33329999999999999</v>
      </c>
      <c r="E61" s="6">
        <v>1721</v>
      </c>
      <c r="F61" s="6"/>
      <c r="G61" s="6"/>
      <c r="H61" s="6">
        <f t="shared" si="156"/>
        <v>1721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>
        <f>+ROUND(+$H61*$D61,2)</f>
        <v>573.61</v>
      </c>
      <c r="W61" s="6"/>
      <c r="X61" s="6">
        <f t="shared" si="135"/>
        <v>573.61</v>
      </c>
      <c r="Y61" s="6">
        <f>+ROUND(+$H61*$D61,2)</f>
        <v>573.61</v>
      </c>
      <c r="Z61" s="6"/>
      <c r="AA61" s="6">
        <f t="shared" si="136"/>
        <v>1147.22</v>
      </c>
      <c r="AB61" s="6">
        <f>+ROUND(+$H61*$D61,2)+0.17</f>
        <v>573.78</v>
      </c>
      <c r="AC61" s="6"/>
      <c r="AD61" s="6">
        <f t="shared" si="137"/>
        <v>1721</v>
      </c>
      <c r="AE61" s="6"/>
      <c r="AF61" s="6"/>
      <c r="AG61" s="6">
        <f t="shared" si="138"/>
        <v>1721</v>
      </c>
      <c r="AH61" s="6"/>
      <c r="AI61" s="6"/>
      <c r="AJ61" s="6">
        <f t="shared" si="139"/>
        <v>1721</v>
      </c>
      <c r="AK61" s="6"/>
      <c r="AL61" s="6"/>
      <c r="AM61" s="6">
        <f t="shared" si="140"/>
        <v>1721</v>
      </c>
      <c r="AN61" s="6"/>
      <c r="AO61" s="6"/>
      <c r="AP61" s="6">
        <f t="shared" si="141"/>
        <v>1721</v>
      </c>
      <c r="AQ61" s="6"/>
      <c r="AR61" s="6"/>
      <c r="AS61" s="6">
        <f t="shared" si="142"/>
        <v>1721</v>
      </c>
      <c r="AT61" s="6"/>
      <c r="AU61" s="6"/>
      <c r="AV61" s="6"/>
      <c r="AW61" s="6"/>
      <c r="AX61" s="6"/>
      <c r="AY61" s="6">
        <f t="shared" si="148"/>
        <v>1147.3899999999999</v>
      </c>
      <c r="AZ61" s="6">
        <f t="shared" si="149"/>
        <v>573.78</v>
      </c>
      <c r="BA61" s="6">
        <f t="shared" si="150"/>
        <v>0</v>
      </c>
      <c r="BB61" s="6">
        <f t="shared" si="151"/>
        <v>0</v>
      </c>
      <c r="BC61" s="6">
        <f t="shared" si="152"/>
        <v>0</v>
      </c>
      <c r="BD61" s="6">
        <f t="shared" si="153"/>
        <v>0</v>
      </c>
      <c r="BE61" s="6">
        <f t="shared" si="154"/>
        <v>0</v>
      </c>
      <c r="BF61" s="6">
        <f t="shared" si="155"/>
        <v>0</v>
      </c>
    </row>
    <row r="62" spans="1:58" s="11" customFormat="1" x14ac:dyDescent="0.15">
      <c r="A62" s="41" t="s">
        <v>168</v>
      </c>
      <c r="B62" s="42"/>
      <c r="C62" s="28"/>
      <c r="D62" s="43"/>
      <c r="E62" s="44">
        <f>SUM(E55:E61)</f>
        <v>12578.82</v>
      </c>
      <c r="F62" s="44">
        <f t="shared" ref="F62:BB62" si="159">SUM(F55:F61)</f>
        <v>0</v>
      </c>
      <c r="G62" s="44">
        <f t="shared" si="159"/>
        <v>0</v>
      </c>
      <c r="H62" s="44">
        <f t="shared" si="159"/>
        <v>12578.82</v>
      </c>
      <c r="I62" s="44">
        <f t="shared" si="159"/>
        <v>9918.9800000000014</v>
      </c>
      <c r="J62" s="44">
        <f t="shared" si="159"/>
        <v>469.39</v>
      </c>
      <c r="K62" s="44">
        <f t="shared" si="159"/>
        <v>0</v>
      </c>
      <c r="L62" s="44">
        <f t="shared" si="159"/>
        <v>10388.370000000001</v>
      </c>
      <c r="M62" s="44">
        <f t="shared" si="159"/>
        <v>469.39</v>
      </c>
      <c r="N62" s="44">
        <f t="shared" si="159"/>
        <v>0</v>
      </c>
      <c r="O62" s="44">
        <f t="shared" si="159"/>
        <v>10857.82</v>
      </c>
      <c r="P62" s="44">
        <f t="shared" si="159"/>
        <v>0</v>
      </c>
      <c r="Q62" s="44">
        <f t="shared" si="159"/>
        <v>0</v>
      </c>
      <c r="R62" s="44">
        <f t="shared" si="159"/>
        <v>10857.82</v>
      </c>
      <c r="S62" s="44">
        <f t="shared" si="159"/>
        <v>0</v>
      </c>
      <c r="T62" s="44">
        <f t="shared" si="159"/>
        <v>0</v>
      </c>
      <c r="U62" s="44">
        <f t="shared" si="159"/>
        <v>10857.82</v>
      </c>
      <c r="V62" s="44">
        <f t="shared" si="159"/>
        <v>573.61</v>
      </c>
      <c r="W62" s="44">
        <f t="shared" si="159"/>
        <v>0</v>
      </c>
      <c r="X62" s="44">
        <f t="shared" si="159"/>
        <v>11431.43</v>
      </c>
      <c r="Y62" s="44">
        <f t="shared" si="159"/>
        <v>573.61</v>
      </c>
      <c r="Z62" s="44">
        <f t="shared" si="159"/>
        <v>0</v>
      </c>
      <c r="AA62" s="44">
        <f t="shared" si="159"/>
        <v>12005.039999999999</v>
      </c>
      <c r="AB62" s="44">
        <f t="shared" si="159"/>
        <v>573.78</v>
      </c>
      <c r="AC62" s="44">
        <f t="shared" si="159"/>
        <v>0</v>
      </c>
      <c r="AD62" s="44">
        <f t="shared" si="159"/>
        <v>12578.82</v>
      </c>
      <c r="AE62" s="44">
        <f t="shared" si="159"/>
        <v>0</v>
      </c>
      <c r="AF62" s="44">
        <f t="shared" si="159"/>
        <v>0</v>
      </c>
      <c r="AG62" s="44">
        <f t="shared" si="159"/>
        <v>12578.82</v>
      </c>
      <c r="AH62" s="44">
        <f t="shared" si="159"/>
        <v>0</v>
      </c>
      <c r="AI62" s="44">
        <f t="shared" si="159"/>
        <v>0</v>
      </c>
      <c r="AJ62" s="44">
        <f t="shared" si="159"/>
        <v>12578.82</v>
      </c>
      <c r="AK62" s="44">
        <f t="shared" si="159"/>
        <v>0</v>
      </c>
      <c r="AL62" s="44">
        <f t="shared" si="159"/>
        <v>0</v>
      </c>
      <c r="AM62" s="44">
        <f t="shared" si="159"/>
        <v>12578.82</v>
      </c>
      <c r="AN62" s="44">
        <f t="shared" si="159"/>
        <v>0</v>
      </c>
      <c r="AO62" s="44">
        <f t="shared" si="159"/>
        <v>0</v>
      </c>
      <c r="AP62" s="44">
        <f t="shared" si="159"/>
        <v>12578.82</v>
      </c>
      <c r="AQ62" s="44">
        <f t="shared" si="159"/>
        <v>0</v>
      </c>
      <c r="AR62" s="44">
        <f t="shared" si="159"/>
        <v>0</v>
      </c>
      <c r="AS62" s="44">
        <f t="shared" si="159"/>
        <v>12578.82</v>
      </c>
      <c r="AT62" s="44">
        <f t="shared" si="159"/>
        <v>938.84000000000015</v>
      </c>
      <c r="AU62" s="44">
        <f t="shared" si="159"/>
        <v>469.45000000000005</v>
      </c>
      <c r="AV62" s="44">
        <f t="shared" si="159"/>
        <v>0</v>
      </c>
      <c r="AW62" s="44">
        <f t="shared" si="159"/>
        <v>0</v>
      </c>
      <c r="AX62" s="44">
        <f t="shared" si="159"/>
        <v>0</v>
      </c>
      <c r="AY62" s="44">
        <f t="shared" si="159"/>
        <v>1147.3899999999999</v>
      </c>
      <c r="AZ62" s="44">
        <f t="shared" si="159"/>
        <v>573.78</v>
      </c>
      <c r="BA62" s="44">
        <f t="shared" si="159"/>
        <v>0</v>
      </c>
      <c r="BB62" s="44">
        <f t="shared" si="159"/>
        <v>0</v>
      </c>
      <c r="BC62" s="44">
        <f t="shared" ref="BC62:BF62" si="160">SUM(BC55:BC61)</f>
        <v>0</v>
      </c>
      <c r="BD62" s="44">
        <f t="shared" si="160"/>
        <v>0</v>
      </c>
      <c r="BE62" s="44">
        <f t="shared" si="160"/>
        <v>0</v>
      </c>
      <c r="BF62" s="44">
        <f t="shared" si="160"/>
        <v>0</v>
      </c>
    </row>
    <row r="64" spans="1:58" x14ac:dyDescent="0.15">
      <c r="A64" s="27" t="s">
        <v>105</v>
      </c>
      <c r="B64" s="28" t="s">
        <v>106</v>
      </c>
      <c r="C64" s="28" t="s">
        <v>107</v>
      </c>
      <c r="D64" s="29" t="s">
        <v>108</v>
      </c>
      <c r="E64" s="28" t="s">
        <v>109</v>
      </c>
      <c r="F64" s="30" t="s">
        <v>110</v>
      </c>
      <c r="G64" s="30" t="s">
        <v>111</v>
      </c>
      <c r="H64" s="28" t="s">
        <v>109</v>
      </c>
      <c r="I64" s="28" t="s">
        <v>112</v>
      </c>
      <c r="J64" s="30" t="s">
        <v>110</v>
      </c>
      <c r="K64" s="30" t="s">
        <v>111</v>
      </c>
      <c r="L64" s="28" t="s">
        <v>112</v>
      </c>
      <c r="M64" s="30" t="s">
        <v>110</v>
      </c>
      <c r="N64" s="30" t="s">
        <v>111</v>
      </c>
      <c r="O64" s="28" t="s">
        <v>112</v>
      </c>
      <c r="P64" s="30" t="s">
        <v>110</v>
      </c>
      <c r="Q64" s="30" t="s">
        <v>111</v>
      </c>
      <c r="R64" s="28" t="s">
        <v>112</v>
      </c>
      <c r="S64" s="30" t="s">
        <v>110</v>
      </c>
      <c r="T64" s="30" t="s">
        <v>111</v>
      </c>
      <c r="U64" s="28" t="s">
        <v>112</v>
      </c>
      <c r="V64" s="30" t="s">
        <v>110</v>
      </c>
      <c r="W64" s="30" t="s">
        <v>111</v>
      </c>
      <c r="X64" s="28" t="s">
        <v>112</v>
      </c>
      <c r="Y64" s="30" t="s">
        <v>110</v>
      </c>
      <c r="Z64" s="30" t="s">
        <v>111</v>
      </c>
      <c r="AA64" s="28" t="s">
        <v>112</v>
      </c>
      <c r="AB64" s="30" t="s">
        <v>110</v>
      </c>
      <c r="AC64" s="30" t="s">
        <v>111</v>
      </c>
      <c r="AD64" s="28" t="s">
        <v>112</v>
      </c>
      <c r="AE64" s="30" t="s">
        <v>110</v>
      </c>
      <c r="AF64" s="30" t="s">
        <v>111</v>
      </c>
      <c r="AG64" s="28" t="s">
        <v>112</v>
      </c>
      <c r="AH64" s="30" t="s">
        <v>110</v>
      </c>
      <c r="AI64" s="30" t="s">
        <v>111</v>
      </c>
      <c r="AJ64" s="28" t="s">
        <v>112</v>
      </c>
      <c r="AK64" s="30" t="s">
        <v>110</v>
      </c>
      <c r="AL64" s="30" t="s">
        <v>111</v>
      </c>
      <c r="AM64" s="28" t="s">
        <v>112</v>
      </c>
      <c r="AN64" s="30" t="s">
        <v>110</v>
      </c>
      <c r="AO64" s="30" t="s">
        <v>111</v>
      </c>
      <c r="AP64" s="28" t="s">
        <v>112</v>
      </c>
      <c r="AQ64" s="30" t="s">
        <v>110</v>
      </c>
      <c r="AR64" s="30" t="s">
        <v>111</v>
      </c>
      <c r="AS64" s="28" t="s">
        <v>112</v>
      </c>
      <c r="AT64" s="28" t="s">
        <v>113</v>
      </c>
      <c r="AU64" s="28" t="s">
        <v>113</v>
      </c>
      <c r="AV64" s="28" t="s">
        <v>113</v>
      </c>
      <c r="AW64" s="28" t="s">
        <v>113</v>
      </c>
      <c r="AX64" s="28" t="s">
        <v>113</v>
      </c>
      <c r="AY64" s="28" t="s">
        <v>113</v>
      </c>
      <c r="AZ64" s="28" t="s">
        <v>113</v>
      </c>
      <c r="BA64" s="28" t="s">
        <v>113</v>
      </c>
      <c r="BB64" s="28" t="s">
        <v>113</v>
      </c>
      <c r="BC64" s="28" t="s">
        <v>113</v>
      </c>
      <c r="BD64" s="28" t="s">
        <v>113</v>
      </c>
      <c r="BE64" s="28" t="s">
        <v>113</v>
      </c>
      <c r="BF64" s="28" t="s">
        <v>113</v>
      </c>
    </row>
    <row r="65" spans="1:58" x14ac:dyDescent="0.15">
      <c r="A65" s="31"/>
      <c r="B65" s="32"/>
      <c r="C65" s="32"/>
      <c r="D65" s="33"/>
      <c r="E65" s="32" t="s">
        <v>114</v>
      </c>
      <c r="F65" s="32"/>
      <c r="G65" s="32"/>
      <c r="H65" s="32" t="s">
        <v>115</v>
      </c>
      <c r="I65" s="32" t="s">
        <v>116</v>
      </c>
      <c r="J65" s="32">
        <v>2014</v>
      </c>
      <c r="K65" s="32">
        <v>2014</v>
      </c>
      <c r="L65" s="32" t="s">
        <v>116</v>
      </c>
      <c r="M65" s="32">
        <v>2015</v>
      </c>
      <c r="N65" s="32">
        <v>2015</v>
      </c>
      <c r="O65" s="32" t="s">
        <v>116</v>
      </c>
      <c r="P65" s="32">
        <v>2016</v>
      </c>
      <c r="Q65" s="32">
        <v>2016</v>
      </c>
      <c r="R65" s="32" t="s">
        <v>116</v>
      </c>
      <c r="S65" s="32">
        <v>2017</v>
      </c>
      <c r="T65" s="32">
        <v>2017</v>
      </c>
      <c r="U65" s="32" t="s">
        <v>116</v>
      </c>
      <c r="V65" s="32">
        <v>2018</v>
      </c>
      <c r="W65" s="32">
        <v>2018</v>
      </c>
      <c r="X65" s="32" t="s">
        <v>116</v>
      </c>
      <c r="Y65" s="32">
        <v>2019</v>
      </c>
      <c r="Z65" s="32">
        <v>2019</v>
      </c>
      <c r="AA65" s="32" t="s">
        <v>116</v>
      </c>
      <c r="AB65" s="32">
        <v>2020</v>
      </c>
      <c r="AC65" s="32">
        <v>2020</v>
      </c>
      <c r="AD65" s="32" t="s">
        <v>116</v>
      </c>
      <c r="AE65" s="32">
        <v>2021</v>
      </c>
      <c r="AF65" s="32">
        <v>2021</v>
      </c>
      <c r="AG65" s="32" t="s">
        <v>116</v>
      </c>
      <c r="AH65" s="32">
        <v>2022</v>
      </c>
      <c r="AI65" s="32">
        <v>2022</v>
      </c>
      <c r="AJ65" s="32" t="s">
        <v>116</v>
      </c>
      <c r="AK65" s="32">
        <v>2023</v>
      </c>
      <c r="AL65" s="32">
        <v>2023</v>
      </c>
      <c r="AM65" s="32" t="s">
        <v>116</v>
      </c>
      <c r="AN65" s="32">
        <v>2024</v>
      </c>
      <c r="AO65" s="32">
        <v>2024</v>
      </c>
      <c r="AP65" s="32" t="s">
        <v>116</v>
      </c>
      <c r="AQ65" s="32">
        <v>2025</v>
      </c>
      <c r="AR65" s="32">
        <v>2025</v>
      </c>
      <c r="AS65" s="32" t="s">
        <v>116</v>
      </c>
      <c r="AT65" s="32" t="s">
        <v>117</v>
      </c>
      <c r="AU65" s="32" t="s">
        <v>117</v>
      </c>
      <c r="AV65" s="32" t="s">
        <v>117</v>
      </c>
      <c r="AW65" s="32" t="s">
        <v>117</v>
      </c>
      <c r="AX65" s="32" t="s">
        <v>117</v>
      </c>
      <c r="AY65" s="32" t="s">
        <v>117</v>
      </c>
      <c r="AZ65" s="32" t="s">
        <v>117</v>
      </c>
      <c r="BA65" s="32" t="s">
        <v>117</v>
      </c>
      <c r="BB65" s="32" t="s">
        <v>117</v>
      </c>
      <c r="BC65" s="32" t="s">
        <v>117</v>
      </c>
      <c r="BD65" s="32" t="s">
        <v>117</v>
      </c>
      <c r="BE65" s="32" t="s">
        <v>117</v>
      </c>
      <c r="BF65" s="32" t="s">
        <v>117</v>
      </c>
    </row>
    <row r="66" spans="1:58" x14ac:dyDescent="0.15">
      <c r="A66" s="34"/>
      <c r="B66" s="35"/>
      <c r="C66" s="35"/>
      <c r="D66" s="36"/>
      <c r="E66" s="13"/>
      <c r="F66" s="13"/>
      <c r="G66" s="13"/>
      <c r="H66" s="13"/>
      <c r="I66" s="37">
        <v>41639</v>
      </c>
      <c r="J66" s="13"/>
      <c r="K66" s="13"/>
      <c r="L66" s="37">
        <v>42004</v>
      </c>
      <c r="M66" s="13"/>
      <c r="N66" s="13"/>
      <c r="O66" s="37">
        <v>42369</v>
      </c>
      <c r="P66" s="13"/>
      <c r="Q66" s="13"/>
      <c r="R66" s="37">
        <v>42735</v>
      </c>
      <c r="S66" s="13"/>
      <c r="T66" s="13"/>
      <c r="U66" s="37">
        <v>43100</v>
      </c>
      <c r="V66" s="13"/>
      <c r="W66" s="13"/>
      <c r="X66" s="37">
        <v>43465</v>
      </c>
      <c r="Y66" s="13"/>
      <c r="Z66" s="13"/>
      <c r="AA66" s="37">
        <v>43830</v>
      </c>
      <c r="AB66" s="13"/>
      <c r="AC66" s="13"/>
      <c r="AD66" s="37">
        <v>44196</v>
      </c>
      <c r="AE66" s="13"/>
      <c r="AF66" s="13"/>
      <c r="AG66" s="37">
        <v>44561</v>
      </c>
      <c r="AH66" s="13"/>
      <c r="AI66" s="13"/>
      <c r="AJ66" s="37">
        <v>44926</v>
      </c>
      <c r="AK66" s="13"/>
      <c r="AL66" s="13"/>
      <c r="AM66" s="37">
        <v>45291</v>
      </c>
      <c r="AN66" s="13"/>
      <c r="AO66" s="13"/>
      <c r="AP66" s="37">
        <v>45657</v>
      </c>
      <c r="AQ66" s="13"/>
      <c r="AR66" s="13"/>
      <c r="AS66" s="37">
        <v>46022</v>
      </c>
      <c r="AT66" s="38">
        <v>41639</v>
      </c>
      <c r="AU66" s="38">
        <v>42004</v>
      </c>
      <c r="AV66" s="38">
        <v>42369</v>
      </c>
      <c r="AW66" s="38">
        <v>42735</v>
      </c>
      <c r="AX66" s="38">
        <v>43100</v>
      </c>
      <c r="AY66" s="38">
        <v>43465</v>
      </c>
      <c r="AZ66" s="38">
        <v>43830</v>
      </c>
      <c r="BA66" s="38">
        <v>44196</v>
      </c>
      <c r="BB66" s="38">
        <v>44561</v>
      </c>
      <c r="BC66" s="38">
        <v>44926</v>
      </c>
      <c r="BD66" s="38">
        <v>45291</v>
      </c>
      <c r="BE66" s="38">
        <v>45657</v>
      </c>
      <c r="BF66" s="38">
        <v>46022</v>
      </c>
    </row>
    <row r="67" spans="1:58" x14ac:dyDescent="0.15">
      <c r="A67" s="39" t="s">
        <v>123</v>
      </c>
      <c r="B67" s="2" t="s">
        <v>169</v>
      </c>
      <c r="C67" s="45" t="s">
        <v>141</v>
      </c>
      <c r="D67" s="45" t="s">
        <v>141</v>
      </c>
      <c r="E67" s="6">
        <v>4000</v>
      </c>
      <c r="F67" s="6"/>
      <c r="G67" s="6"/>
      <c r="H67" s="6">
        <f>+E67+F67+G67</f>
        <v>4000</v>
      </c>
      <c r="I67" s="6">
        <f>+F67+G67+H67</f>
        <v>4000</v>
      </c>
      <c r="J67" s="6"/>
      <c r="K67" s="6"/>
      <c r="L67" s="6">
        <f>+I67+J67+K67</f>
        <v>4000</v>
      </c>
      <c r="M67" s="6"/>
      <c r="N67" s="6"/>
      <c r="O67" s="6">
        <f>+L67+M67+N67</f>
        <v>4000</v>
      </c>
      <c r="P67" s="6"/>
      <c r="Q67" s="6"/>
      <c r="R67" s="6">
        <f t="shared" ref="R67" si="161">+O67+P67+Q67</f>
        <v>4000</v>
      </c>
      <c r="S67" s="6"/>
      <c r="T67" s="6"/>
      <c r="U67" s="6"/>
      <c r="V67" s="6"/>
      <c r="W67" s="6"/>
      <c r="X67" s="6">
        <f t="shared" ref="X67" si="162">+U67+V67+W67</f>
        <v>0</v>
      </c>
      <c r="Y67" s="6"/>
      <c r="Z67" s="6"/>
      <c r="AA67" s="6">
        <f t="shared" ref="AA67" si="163">+X67+Y67+Z67</f>
        <v>0</v>
      </c>
      <c r="AB67" s="6"/>
      <c r="AC67" s="6"/>
      <c r="AD67" s="6">
        <f t="shared" ref="AD67" si="164">+AA67+AB67+AC67</f>
        <v>0</v>
      </c>
      <c r="AE67" s="6"/>
      <c r="AF67" s="6"/>
      <c r="AG67" s="6">
        <f t="shared" ref="AG67" si="165">+AD67+AE67+AF67</f>
        <v>0</v>
      </c>
      <c r="AH67" s="6"/>
      <c r="AI67" s="6"/>
      <c r="AJ67" s="6">
        <f t="shared" ref="AJ67" si="166">+AG67+AH67+AI67</f>
        <v>0</v>
      </c>
      <c r="AK67" s="6"/>
      <c r="AL67" s="6"/>
      <c r="AM67" s="6">
        <f t="shared" ref="AM67" si="167">+AJ67+AK67+AL67</f>
        <v>0</v>
      </c>
      <c r="AN67" s="6"/>
      <c r="AO67" s="6"/>
      <c r="AP67" s="6">
        <f t="shared" ref="AP67" si="168">+AM67+AN67+AO67</f>
        <v>0</v>
      </c>
      <c r="AQ67" s="6"/>
      <c r="AR67" s="6"/>
      <c r="AS67" s="6">
        <f t="shared" ref="AS67" si="169">+AP67+AQ67+AR67</f>
        <v>0</v>
      </c>
      <c r="AT67" s="6">
        <f>+H67-I67</f>
        <v>0</v>
      </c>
      <c r="AU67" s="6">
        <f>+H67-L67</f>
        <v>0</v>
      </c>
      <c r="AV67" s="6">
        <f>+H67-O67</f>
        <v>0</v>
      </c>
      <c r="AW67" s="6">
        <f>+H67-R67</f>
        <v>0</v>
      </c>
      <c r="AX67" s="6">
        <f>+H67-U67</f>
        <v>4000</v>
      </c>
      <c r="AY67" s="6">
        <f>+H67-X67</f>
        <v>4000</v>
      </c>
      <c r="AZ67" s="6">
        <f t="shared" ref="AZ67" si="170">+H67-AA67</f>
        <v>4000</v>
      </c>
      <c r="BA67" s="6">
        <f t="shared" ref="BA67" si="171">+H67-AD67</f>
        <v>4000</v>
      </c>
      <c r="BB67" s="6">
        <f t="shared" ref="BB67" si="172">+H67-AG67</f>
        <v>4000</v>
      </c>
      <c r="BC67" s="6">
        <f t="shared" ref="BC67" si="173">+$H67-AJ67</f>
        <v>4000</v>
      </c>
      <c r="BD67" s="6">
        <f t="shared" ref="BD67" si="174">+$H67-AM67</f>
        <v>4000</v>
      </c>
      <c r="BE67" s="6">
        <f t="shared" ref="BE67" si="175">+$H67-AP67</f>
        <v>4000</v>
      </c>
      <c r="BF67" s="6">
        <f t="shared" ref="BF67" si="176">+$H67-AS67</f>
        <v>4000</v>
      </c>
    </row>
    <row r="68" spans="1:58" s="11" customFormat="1" x14ac:dyDescent="0.15">
      <c r="A68" s="41" t="s">
        <v>170</v>
      </c>
      <c r="B68" s="42"/>
      <c r="C68" s="28"/>
      <c r="D68" s="43"/>
      <c r="E68" s="44">
        <f t="shared" ref="E68:AV68" si="177">SUM(E67:E67)</f>
        <v>4000</v>
      </c>
      <c r="F68" s="44">
        <f t="shared" si="177"/>
        <v>0</v>
      </c>
      <c r="G68" s="44">
        <f t="shared" si="177"/>
        <v>0</v>
      </c>
      <c r="H68" s="44">
        <f t="shared" si="177"/>
        <v>4000</v>
      </c>
      <c r="I68" s="44">
        <f t="shared" si="177"/>
        <v>4000</v>
      </c>
      <c r="J68" s="44">
        <f t="shared" si="177"/>
        <v>0</v>
      </c>
      <c r="K68" s="44">
        <f t="shared" si="177"/>
        <v>0</v>
      </c>
      <c r="L68" s="44">
        <f t="shared" si="177"/>
        <v>4000</v>
      </c>
      <c r="M68" s="44">
        <f t="shared" si="177"/>
        <v>0</v>
      </c>
      <c r="N68" s="44">
        <f t="shared" si="177"/>
        <v>0</v>
      </c>
      <c r="O68" s="44">
        <f t="shared" si="177"/>
        <v>4000</v>
      </c>
      <c r="P68" s="44">
        <f t="shared" ref="P68:AT68" si="178">SUM(P67:P67)</f>
        <v>0</v>
      </c>
      <c r="Q68" s="44">
        <f t="shared" si="178"/>
        <v>0</v>
      </c>
      <c r="R68" s="44">
        <f t="shared" si="178"/>
        <v>4000</v>
      </c>
      <c r="S68" s="44">
        <f t="shared" si="178"/>
        <v>0</v>
      </c>
      <c r="T68" s="44">
        <f t="shared" si="178"/>
        <v>0</v>
      </c>
      <c r="U68" s="44">
        <f t="shared" si="178"/>
        <v>0</v>
      </c>
      <c r="V68" s="44">
        <f t="shared" si="178"/>
        <v>0</v>
      </c>
      <c r="W68" s="44">
        <f t="shared" si="178"/>
        <v>0</v>
      </c>
      <c r="X68" s="44">
        <f t="shared" si="178"/>
        <v>0</v>
      </c>
      <c r="Y68" s="44">
        <f t="shared" si="178"/>
        <v>0</v>
      </c>
      <c r="Z68" s="44">
        <f t="shared" si="178"/>
        <v>0</v>
      </c>
      <c r="AA68" s="44">
        <f t="shared" si="178"/>
        <v>0</v>
      </c>
      <c r="AB68" s="44">
        <f t="shared" si="178"/>
        <v>0</v>
      </c>
      <c r="AC68" s="44">
        <f t="shared" si="178"/>
        <v>0</v>
      </c>
      <c r="AD68" s="44">
        <f t="shared" si="178"/>
        <v>0</v>
      </c>
      <c r="AE68" s="44">
        <f t="shared" si="178"/>
        <v>0</v>
      </c>
      <c r="AF68" s="44">
        <f t="shared" si="178"/>
        <v>0</v>
      </c>
      <c r="AG68" s="44">
        <f t="shared" si="178"/>
        <v>0</v>
      </c>
      <c r="AH68" s="44">
        <f t="shared" si="178"/>
        <v>0</v>
      </c>
      <c r="AI68" s="44">
        <f t="shared" si="178"/>
        <v>0</v>
      </c>
      <c r="AJ68" s="44">
        <f t="shared" si="178"/>
        <v>0</v>
      </c>
      <c r="AK68" s="44">
        <f t="shared" si="178"/>
        <v>0</v>
      </c>
      <c r="AL68" s="44">
        <f t="shared" si="178"/>
        <v>0</v>
      </c>
      <c r="AM68" s="44">
        <f t="shared" si="178"/>
        <v>0</v>
      </c>
      <c r="AN68" s="44">
        <f t="shared" si="178"/>
        <v>0</v>
      </c>
      <c r="AO68" s="44">
        <f t="shared" si="178"/>
        <v>0</v>
      </c>
      <c r="AP68" s="44">
        <f t="shared" si="178"/>
        <v>0</v>
      </c>
      <c r="AQ68" s="44">
        <f t="shared" si="178"/>
        <v>0</v>
      </c>
      <c r="AR68" s="44">
        <f t="shared" si="178"/>
        <v>0</v>
      </c>
      <c r="AS68" s="44">
        <f t="shared" ref="AS68" si="179">SUM(AS67:AS67)</f>
        <v>0</v>
      </c>
      <c r="AT68" s="44">
        <f t="shared" si="178"/>
        <v>0</v>
      </c>
      <c r="AU68" s="44">
        <f t="shared" si="177"/>
        <v>0</v>
      </c>
      <c r="AV68" s="44">
        <f t="shared" si="177"/>
        <v>0</v>
      </c>
      <c r="AW68" s="44">
        <f t="shared" ref="AW68:BB68" si="180">SUM(AW67:AW67)</f>
        <v>0</v>
      </c>
      <c r="AX68" s="44">
        <f t="shared" si="180"/>
        <v>4000</v>
      </c>
      <c r="AY68" s="44">
        <f t="shared" si="180"/>
        <v>4000</v>
      </c>
      <c r="AZ68" s="44">
        <f t="shared" si="180"/>
        <v>4000</v>
      </c>
      <c r="BA68" s="44">
        <f t="shared" si="180"/>
        <v>4000</v>
      </c>
      <c r="BB68" s="44">
        <f t="shared" si="180"/>
        <v>4000</v>
      </c>
      <c r="BC68" s="44">
        <f t="shared" ref="BC68:BF68" si="181">SUM(BC67:BC67)</f>
        <v>4000</v>
      </c>
      <c r="BD68" s="44">
        <f t="shared" si="181"/>
        <v>4000</v>
      </c>
      <c r="BE68" s="44">
        <f t="shared" si="181"/>
        <v>4000</v>
      </c>
      <c r="BF68" s="44">
        <f t="shared" si="181"/>
        <v>4000</v>
      </c>
    </row>
    <row r="70" spans="1:58" s="11" customFormat="1" x14ac:dyDescent="0.15">
      <c r="A70" s="32" t="s">
        <v>171</v>
      </c>
      <c r="C70" s="32"/>
      <c r="D70" s="47"/>
      <c r="E70" s="48">
        <f t="shared" ref="E70:BB70" si="182">+E14+E20+E41+E50+E68+E35+E62+E27</f>
        <v>559284.89</v>
      </c>
      <c r="F70" s="48">
        <f t="shared" si="182"/>
        <v>0</v>
      </c>
      <c r="G70" s="48">
        <f t="shared" si="182"/>
        <v>0</v>
      </c>
      <c r="H70" s="48">
        <f t="shared" si="182"/>
        <v>559284.89</v>
      </c>
      <c r="I70" s="48">
        <f t="shared" si="182"/>
        <v>90650.63</v>
      </c>
      <c r="J70" s="48">
        <f t="shared" si="182"/>
        <v>3518.5899999999997</v>
      </c>
      <c r="K70" s="48">
        <f t="shared" si="182"/>
        <v>0</v>
      </c>
      <c r="L70" s="48">
        <f t="shared" si="182"/>
        <v>94169.22</v>
      </c>
      <c r="M70" s="48">
        <f t="shared" si="182"/>
        <v>2908.7499999999995</v>
      </c>
      <c r="N70" s="48">
        <f t="shared" si="182"/>
        <v>0</v>
      </c>
      <c r="O70" s="48">
        <f t="shared" si="182"/>
        <v>97078.03</v>
      </c>
      <c r="P70" s="48">
        <f t="shared" si="182"/>
        <v>1060.33</v>
      </c>
      <c r="Q70" s="48">
        <f t="shared" si="182"/>
        <v>0</v>
      </c>
      <c r="R70" s="48">
        <f t="shared" si="182"/>
        <v>98138.360000000015</v>
      </c>
      <c r="S70" s="48">
        <f t="shared" si="182"/>
        <v>21079.33</v>
      </c>
      <c r="T70" s="48">
        <f t="shared" si="182"/>
        <v>0</v>
      </c>
      <c r="U70" s="48">
        <f t="shared" si="182"/>
        <v>115217.69</v>
      </c>
      <c r="V70" s="48">
        <f t="shared" si="182"/>
        <v>6084.55</v>
      </c>
      <c r="W70" s="48">
        <f t="shared" si="182"/>
        <v>0</v>
      </c>
      <c r="X70" s="48">
        <f t="shared" si="182"/>
        <v>121302.24</v>
      </c>
      <c r="Y70" s="48">
        <f t="shared" si="182"/>
        <v>6084.55</v>
      </c>
      <c r="Z70" s="48">
        <f t="shared" si="182"/>
        <v>0</v>
      </c>
      <c r="AA70" s="48">
        <f t="shared" si="182"/>
        <v>127386.78999999998</v>
      </c>
      <c r="AB70" s="48">
        <f t="shared" si="182"/>
        <v>6084.72</v>
      </c>
      <c r="AC70" s="48">
        <f t="shared" si="182"/>
        <v>0</v>
      </c>
      <c r="AD70" s="48">
        <f t="shared" si="182"/>
        <v>133471.51</v>
      </c>
      <c r="AE70" s="48">
        <f t="shared" si="182"/>
        <v>14745.63</v>
      </c>
      <c r="AF70" s="48">
        <f t="shared" si="182"/>
        <v>0</v>
      </c>
      <c r="AG70" s="48">
        <f t="shared" si="182"/>
        <v>137922.12</v>
      </c>
      <c r="AH70" s="48">
        <f t="shared" si="182"/>
        <v>14745.63</v>
      </c>
      <c r="AI70" s="48">
        <f t="shared" si="182"/>
        <v>0</v>
      </c>
      <c r="AJ70" s="48">
        <f t="shared" si="182"/>
        <v>142372.73000000001</v>
      </c>
      <c r="AK70" s="48">
        <f t="shared" si="182"/>
        <v>14298.82</v>
      </c>
      <c r="AL70" s="48">
        <f t="shared" si="182"/>
        <v>0</v>
      </c>
      <c r="AM70" s="48">
        <f t="shared" si="182"/>
        <v>146376.53000000003</v>
      </c>
      <c r="AN70" s="48">
        <f t="shared" si="182"/>
        <v>14298.82</v>
      </c>
      <c r="AO70" s="48">
        <f t="shared" si="182"/>
        <v>0</v>
      </c>
      <c r="AP70" s="48">
        <f t="shared" si="182"/>
        <v>150380.33000000002</v>
      </c>
      <c r="AQ70" s="48">
        <f t="shared" si="182"/>
        <v>14298.82</v>
      </c>
      <c r="AR70" s="48">
        <f t="shared" si="182"/>
        <v>0</v>
      </c>
      <c r="AS70" s="48">
        <f t="shared" ref="AS70" si="183">+AS14+AS20+AS41+AS50+AS68+AS35+AS62+AS27</f>
        <v>164679.15000000002</v>
      </c>
      <c r="AT70" s="48">
        <f t="shared" si="182"/>
        <v>459377.56</v>
      </c>
      <c r="AU70" s="48">
        <f t="shared" si="182"/>
        <v>455858.97</v>
      </c>
      <c r="AV70" s="48">
        <f t="shared" si="182"/>
        <v>452950.16000000003</v>
      </c>
      <c r="AW70" s="48">
        <f t="shared" si="182"/>
        <v>457191.48</v>
      </c>
      <c r="AX70" s="48">
        <f t="shared" si="182"/>
        <v>440112.15</v>
      </c>
      <c r="AY70" s="48">
        <f t="shared" si="182"/>
        <v>437982.65</v>
      </c>
      <c r="AZ70" s="48">
        <f t="shared" si="182"/>
        <v>431898.1</v>
      </c>
      <c r="BA70" s="48">
        <f t="shared" si="182"/>
        <v>425813.38</v>
      </c>
      <c r="BB70" s="48">
        <f t="shared" si="182"/>
        <v>421362.77</v>
      </c>
      <c r="BC70" s="48">
        <f t="shared" ref="BC70:BF70" si="184">+BC14+BC20+BC41+BC50+BC68+BC35+BC62+BC27</f>
        <v>416912.16000000003</v>
      </c>
      <c r="BD70" s="48">
        <f t="shared" si="184"/>
        <v>412908.36</v>
      </c>
      <c r="BE70" s="48">
        <f t="shared" si="184"/>
        <v>408904.56</v>
      </c>
      <c r="BF70" s="48">
        <f t="shared" si="184"/>
        <v>394605.74</v>
      </c>
    </row>
  </sheetData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F913-C977-4597-B0D6-B7714FA5743E}">
  <dimension ref="A1:X112"/>
  <sheetViews>
    <sheetView showGridLines="0" workbookViewId="0">
      <selection activeCell="E1" sqref="E1:J109"/>
    </sheetView>
  </sheetViews>
  <sheetFormatPr baseColWidth="10" defaultColWidth="9.1640625" defaultRowHeight="13" x14ac:dyDescent="0.15"/>
  <cols>
    <col min="1" max="4" width="9.1640625" style="2"/>
    <col min="5" max="5" width="7" style="2" bestFit="1" customWidth="1"/>
    <col min="6" max="6" width="44.5" style="2" bestFit="1" customWidth="1"/>
    <col min="7" max="7" width="10.6640625" style="2" bestFit="1" customWidth="1"/>
    <col min="8" max="8" width="10.6640625" style="2" customWidth="1"/>
    <col min="9" max="9" width="44.5" style="2" customWidth="1"/>
    <col min="10" max="10" width="10.6640625" style="2" bestFit="1" customWidth="1"/>
    <col min="11" max="11" width="9.1640625" style="2" customWidth="1"/>
    <col min="12" max="12" width="48.5" style="2" customWidth="1"/>
    <col min="13" max="13" width="10.6640625" style="2" bestFit="1" customWidth="1"/>
    <col min="14" max="14" width="9.1640625" style="2" customWidth="1"/>
    <col min="15" max="15" width="48.6640625" style="2" customWidth="1"/>
    <col min="16" max="16" width="10.6640625" style="2" bestFit="1" customWidth="1"/>
    <col min="17" max="17" width="9.1640625" style="2" customWidth="1"/>
    <col min="18" max="18" width="42.83203125" style="2" customWidth="1"/>
    <col min="19" max="19" width="10.6640625" style="2" bestFit="1" customWidth="1"/>
    <col min="20" max="20" width="9.1640625" style="2" customWidth="1"/>
    <col min="21" max="21" width="40.83203125" style="2" customWidth="1"/>
    <col min="22" max="22" width="10.6640625" style="2" bestFit="1" customWidth="1"/>
    <col min="23" max="28" width="9.1640625" style="2"/>
    <col min="29" max="29" width="9.6640625" style="2" bestFit="1" customWidth="1"/>
    <col min="30" max="16384" width="9.1640625" style="2"/>
  </cols>
  <sheetData>
    <row r="1" spans="1:24" s="11" customFormat="1" x14ac:dyDescent="0.15">
      <c r="G1" s="12">
        <v>44561</v>
      </c>
      <c r="J1" s="12">
        <v>44196</v>
      </c>
      <c r="M1" s="12">
        <v>43830</v>
      </c>
      <c r="P1" s="12">
        <v>43465</v>
      </c>
      <c r="S1" s="12">
        <v>43100</v>
      </c>
      <c r="V1" s="12">
        <v>42735</v>
      </c>
    </row>
    <row r="2" spans="1:24" s="11" customFormat="1" x14ac:dyDescent="0.15"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4" spans="1:24" ht="14" thickBot="1" x14ac:dyDescent="0.2">
      <c r="A4" s="39" t="s">
        <v>175</v>
      </c>
      <c r="B4" s="39" t="s">
        <v>173</v>
      </c>
      <c r="C4" s="39" t="s">
        <v>176</v>
      </c>
      <c r="D4" s="39" t="s">
        <v>177</v>
      </c>
    </row>
    <row r="5" spans="1:24" x14ac:dyDescent="0.15">
      <c r="A5" s="5">
        <f>+$G5+$J5+$M5+$P5+$S5+$V5</f>
        <v>21279.69</v>
      </c>
      <c r="B5" s="5">
        <f>+A5/6</f>
        <v>3546.6149999999998</v>
      </c>
      <c r="C5" s="5">
        <f>$P5+$S5+$V5</f>
        <v>16679.39</v>
      </c>
      <c r="D5" s="5">
        <f>+C5/6</f>
        <v>2779.8983333333331</v>
      </c>
      <c r="E5" s="4">
        <v>604000</v>
      </c>
      <c r="F5" s="4" t="s">
        <v>0</v>
      </c>
      <c r="G5" s="5">
        <v>277.77</v>
      </c>
      <c r="H5" s="4">
        <v>604000</v>
      </c>
      <c r="I5" s="4" t="s">
        <v>0</v>
      </c>
      <c r="J5" s="20">
        <v>1496.34</v>
      </c>
      <c r="K5" s="4">
        <v>604000</v>
      </c>
      <c r="L5" s="4" t="s">
        <v>0</v>
      </c>
      <c r="M5" s="5">
        <v>2826.19</v>
      </c>
      <c r="N5" s="4">
        <v>604000</v>
      </c>
      <c r="O5" s="4" t="s">
        <v>0</v>
      </c>
      <c r="P5" s="20">
        <v>3626.79</v>
      </c>
      <c r="Q5" s="4">
        <v>604000</v>
      </c>
      <c r="R5" s="4" t="s">
        <v>0</v>
      </c>
      <c r="S5" s="5">
        <v>1846.8</v>
      </c>
      <c r="T5" s="4">
        <v>604000</v>
      </c>
      <c r="U5" s="4" t="s">
        <v>0</v>
      </c>
      <c r="V5" s="20">
        <v>11205.8</v>
      </c>
      <c r="X5" s="6"/>
    </row>
    <row r="6" spans="1:24" x14ac:dyDescent="0.15">
      <c r="A6" s="57"/>
      <c r="B6" s="57"/>
      <c r="C6" s="57"/>
      <c r="D6" s="57"/>
      <c r="E6" s="2">
        <v>609400</v>
      </c>
      <c r="F6" s="2" t="s">
        <v>48</v>
      </c>
      <c r="G6" s="6"/>
      <c r="H6" s="2">
        <v>609400</v>
      </c>
      <c r="I6" s="2" t="s">
        <v>48</v>
      </c>
      <c r="J6" s="21">
        <v>38.5</v>
      </c>
      <c r="K6" s="2">
        <v>609400</v>
      </c>
      <c r="L6" s="2" t="s">
        <v>48</v>
      </c>
      <c r="M6" s="6">
        <v>-1012.44</v>
      </c>
      <c r="N6" s="2">
        <v>609400</v>
      </c>
      <c r="O6" s="2" t="s">
        <v>48</v>
      </c>
      <c r="P6" s="21">
        <v>706.89</v>
      </c>
      <c r="Q6" s="2">
        <v>609400</v>
      </c>
      <c r="R6" s="2" t="s">
        <v>48</v>
      </c>
      <c r="S6" s="6">
        <v>5513.49</v>
      </c>
      <c r="T6" s="2">
        <v>609400</v>
      </c>
      <c r="U6" s="2" t="s">
        <v>48</v>
      </c>
      <c r="V6" s="21"/>
      <c r="X6" s="6"/>
    </row>
    <row r="7" spans="1:24" x14ac:dyDescent="0.15">
      <c r="A7" s="57"/>
      <c r="B7" s="57"/>
      <c r="C7" s="57"/>
      <c r="D7" s="57"/>
      <c r="E7" s="2">
        <v>609410</v>
      </c>
      <c r="F7" s="2" t="s">
        <v>49</v>
      </c>
      <c r="G7" s="6"/>
      <c r="H7" s="2">
        <v>609410</v>
      </c>
      <c r="I7" s="2" t="s">
        <v>49</v>
      </c>
      <c r="J7" s="21">
        <v>442.24</v>
      </c>
      <c r="K7" s="2">
        <v>609410</v>
      </c>
      <c r="L7" s="2" t="s">
        <v>49</v>
      </c>
      <c r="M7" s="6">
        <v>638.88</v>
      </c>
      <c r="N7" s="2">
        <v>609410</v>
      </c>
      <c r="O7" s="2" t="s">
        <v>49</v>
      </c>
      <c r="P7" s="21">
        <v>-286.69</v>
      </c>
      <c r="Q7" s="2">
        <v>609410</v>
      </c>
      <c r="R7" s="2" t="s">
        <v>49</v>
      </c>
      <c r="T7" s="2">
        <v>609410</v>
      </c>
      <c r="U7" s="2" t="s">
        <v>49</v>
      </c>
      <c r="V7" s="21"/>
      <c r="X7" s="6"/>
    </row>
    <row r="8" spans="1:24" ht="14" thickBot="1" x14ac:dyDescent="0.2">
      <c r="A8" s="57"/>
      <c r="B8" s="57"/>
      <c r="C8" s="57"/>
      <c r="D8" s="57"/>
      <c r="E8" s="7">
        <v>609420</v>
      </c>
      <c r="F8" s="7" t="s">
        <v>66</v>
      </c>
      <c r="G8" s="8"/>
      <c r="H8" s="7">
        <v>609420</v>
      </c>
      <c r="I8" s="7" t="s">
        <v>66</v>
      </c>
      <c r="J8" s="22"/>
      <c r="K8" s="7">
        <v>609420</v>
      </c>
      <c r="L8" s="7" t="s">
        <v>66</v>
      </c>
      <c r="M8" s="8">
        <v>-333.12</v>
      </c>
      <c r="N8" s="7">
        <v>609420</v>
      </c>
      <c r="O8" s="7" t="s">
        <v>66</v>
      </c>
      <c r="P8" s="22">
        <v>357.72</v>
      </c>
      <c r="Q8" s="7">
        <v>609420</v>
      </c>
      <c r="R8" s="7" t="s">
        <v>66</v>
      </c>
      <c r="S8" s="7"/>
      <c r="T8" s="7">
        <v>609420</v>
      </c>
      <c r="U8" s="7" t="s">
        <v>66</v>
      </c>
      <c r="V8" s="22"/>
      <c r="X8" s="6"/>
    </row>
    <row r="9" spans="1:24" ht="14" thickBot="1" x14ac:dyDescent="0.2">
      <c r="A9" s="53"/>
      <c r="B9" s="53"/>
      <c r="C9" s="53"/>
      <c r="D9" s="53"/>
      <c r="E9" s="9">
        <v>610000</v>
      </c>
      <c r="F9" s="9" t="s">
        <v>1</v>
      </c>
      <c r="G9" s="10">
        <v>3730.56</v>
      </c>
      <c r="H9" s="9">
        <v>610000</v>
      </c>
      <c r="I9" s="9" t="s">
        <v>1</v>
      </c>
      <c r="J9" s="23">
        <v>3706.92</v>
      </c>
      <c r="K9" s="9">
        <v>610000</v>
      </c>
      <c r="L9" s="9" t="s">
        <v>1</v>
      </c>
      <c r="M9" s="10">
        <v>3603.96</v>
      </c>
      <c r="N9" s="9">
        <v>610000</v>
      </c>
      <c r="O9" s="9" t="s">
        <v>1</v>
      </c>
      <c r="P9" s="23">
        <v>5519.87</v>
      </c>
      <c r="Q9" s="9">
        <v>610000</v>
      </c>
      <c r="R9" s="9" t="s">
        <v>1</v>
      </c>
      <c r="S9" s="10">
        <v>4705.6899999999996</v>
      </c>
      <c r="T9" s="9">
        <v>610000</v>
      </c>
      <c r="U9" s="9" t="s">
        <v>1</v>
      </c>
      <c r="V9" s="23">
        <v>3470.76</v>
      </c>
      <c r="X9" s="6"/>
    </row>
    <row r="10" spans="1:24" x14ac:dyDescent="0.15">
      <c r="A10" s="6">
        <f t="shared" ref="A10:A19" si="0">+$G10+$J10+$M10+$P10+$S10+$V10</f>
        <v>991.9</v>
      </c>
      <c r="B10" s="6">
        <f t="shared" ref="B10:B19" si="1">+A10/6</f>
        <v>165.31666666666666</v>
      </c>
      <c r="C10" s="6">
        <f t="shared" ref="C10:C19" si="2">$P10+$S10+$V10</f>
        <v>73.52000000000001</v>
      </c>
      <c r="D10" s="6">
        <f t="shared" ref="D10:D19" si="3">+C10/6</f>
        <v>12.253333333333336</v>
      </c>
      <c r="E10" s="4">
        <v>611000</v>
      </c>
      <c r="F10" s="4" t="s">
        <v>67</v>
      </c>
      <c r="G10" s="5"/>
      <c r="H10" s="4">
        <v>611000</v>
      </c>
      <c r="I10" s="4" t="s">
        <v>67</v>
      </c>
      <c r="J10" s="20"/>
      <c r="K10" s="4">
        <v>611000</v>
      </c>
      <c r="L10" s="4" t="s">
        <v>67</v>
      </c>
      <c r="M10" s="5">
        <v>918.38</v>
      </c>
      <c r="N10" s="4">
        <v>611000</v>
      </c>
      <c r="O10" s="4" t="s">
        <v>67</v>
      </c>
      <c r="P10" s="20">
        <v>43.74</v>
      </c>
      <c r="Q10" s="4">
        <v>611000</v>
      </c>
      <c r="R10" s="4" t="s">
        <v>67</v>
      </c>
      <c r="S10" s="5">
        <v>0</v>
      </c>
      <c r="T10" s="4">
        <v>611000</v>
      </c>
      <c r="U10" s="4" t="s">
        <v>67</v>
      </c>
      <c r="V10" s="20">
        <v>29.78</v>
      </c>
      <c r="X10" s="6"/>
    </row>
    <row r="11" spans="1:24" x14ac:dyDescent="0.15">
      <c r="A11" s="6">
        <f t="shared" si="0"/>
        <v>4975.53</v>
      </c>
      <c r="B11" s="6">
        <f t="shared" si="1"/>
        <v>829.255</v>
      </c>
      <c r="C11" s="6">
        <f t="shared" si="2"/>
        <v>3250.4100000000003</v>
      </c>
      <c r="D11" s="6">
        <f t="shared" si="3"/>
        <v>541.73500000000001</v>
      </c>
      <c r="E11" s="2">
        <v>611002</v>
      </c>
      <c r="F11" s="2" t="s">
        <v>50</v>
      </c>
      <c r="G11" s="6"/>
      <c r="H11" s="2">
        <v>611002</v>
      </c>
      <c r="I11" s="2" t="s">
        <v>50</v>
      </c>
      <c r="J11" s="21">
        <v>810.36</v>
      </c>
      <c r="K11" s="2">
        <v>611002</v>
      </c>
      <c r="L11" s="2" t="s">
        <v>50</v>
      </c>
      <c r="M11" s="6">
        <v>914.76</v>
      </c>
      <c r="N11" s="2">
        <v>611002</v>
      </c>
      <c r="O11" s="2" t="s">
        <v>50</v>
      </c>
      <c r="P11" s="21">
        <v>1087.56</v>
      </c>
      <c r="Q11" s="2">
        <v>611002</v>
      </c>
      <c r="R11" s="2" t="s">
        <v>50</v>
      </c>
      <c r="S11" s="6">
        <v>2126.5500000000002</v>
      </c>
      <c r="T11" s="2">
        <v>611002</v>
      </c>
      <c r="U11" s="2" t="s">
        <v>50</v>
      </c>
      <c r="V11" s="21">
        <v>36.299999999999997</v>
      </c>
      <c r="X11" s="6"/>
    </row>
    <row r="12" spans="1:24" ht="14" thickBot="1" x14ac:dyDescent="0.2">
      <c r="A12" s="6">
        <f t="shared" si="0"/>
        <v>46239.5</v>
      </c>
      <c r="B12" s="6">
        <f t="shared" si="1"/>
        <v>7706.583333333333</v>
      </c>
      <c r="C12" s="6">
        <f t="shared" si="2"/>
        <v>24992.399999999998</v>
      </c>
      <c r="D12" s="6">
        <f t="shared" si="3"/>
        <v>4165.3999999999996</v>
      </c>
      <c r="E12" s="7">
        <v>611005</v>
      </c>
      <c r="F12" s="7" t="s">
        <v>2</v>
      </c>
      <c r="G12" s="8">
        <v>10408.73</v>
      </c>
      <c r="H12" s="7">
        <v>611005</v>
      </c>
      <c r="I12" s="7" t="s">
        <v>2</v>
      </c>
      <c r="J12" s="24">
        <v>5188.43</v>
      </c>
      <c r="K12" s="7">
        <v>611005</v>
      </c>
      <c r="L12" s="7" t="s">
        <v>2</v>
      </c>
      <c r="M12" s="8">
        <v>5649.94</v>
      </c>
      <c r="N12" s="7">
        <v>611005</v>
      </c>
      <c r="O12" s="7" t="s">
        <v>2</v>
      </c>
      <c r="P12" s="24">
        <v>10237.06</v>
      </c>
      <c r="Q12" s="7">
        <v>611005</v>
      </c>
      <c r="R12" s="7" t="s">
        <v>2</v>
      </c>
      <c r="S12" s="8">
        <v>10479.5</v>
      </c>
      <c r="T12" s="7">
        <v>611005</v>
      </c>
      <c r="U12" s="7" t="s">
        <v>2</v>
      </c>
      <c r="V12" s="24">
        <v>4275.84</v>
      </c>
      <c r="X12" s="6"/>
    </row>
    <row r="13" spans="1:24" x14ac:dyDescent="0.15">
      <c r="A13" s="6">
        <f t="shared" si="0"/>
        <v>10231.189999999999</v>
      </c>
      <c r="B13" s="6">
        <f t="shared" si="1"/>
        <v>1705.198333333333</v>
      </c>
      <c r="C13" s="6">
        <f t="shared" si="2"/>
        <v>10046.290000000001</v>
      </c>
      <c r="D13" s="6">
        <f t="shared" si="3"/>
        <v>1674.3816666666669</v>
      </c>
      <c r="E13" s="4">
        <v>612000</v>
      </c>
      <c r="F13" s="4" t="s">
        <v>68</v>
      </c>
      <c r="G13" s="5"/>
      <c r="H13" s="4">
        <v>612000</v>
      </c>
      <c r="I13" s="4" t="s">
        <v>68</v>
      </c>
      <c r="J13" s="20"/>
      <c r="K13" s="4">
        <v>612000</v>
      </c>
      <c r="L13" s="4" t="s">
        <v>68</v>
      </c>
      <c r="M13" s="5">
        <v>184.9</v>
      </c>
      <c r="N13" s="4">
        <v>612000</v>
      </c>
      <c r="O13" s="4" t="s">
        <v>68</v>
      </c>
      <c r="P13" s="20">
        <v>2186.64</v>
      </c>
      <c r="Q13" s="4">
        <v>612000</v>
      </c>
      <c r="R13" s="4" t="s">
        <v>68</v>
      </c>
      <c r="S13" s="5">
        <v>3842.44</v>
      </c>
      <c r="T13" s="4">
        <v>612000</v>
      </c>
      <c r="U13" s="4" t="s">
        <v>68</v>
      </c>
      <c r="V13" s="20">
        <v>4017.21</v>
      </c>
      <c r="X13" s="6"/>
    </row>
    <row r="14" spans="1:24" x14ac:dyDescent="0.15">
      <c r="A14" s="6">
        <f t="shared" si="0"/>
        <v>57901.159999999996</v>
      </c>
      <c r="B14" s="6">
        <f t="shared" si="1"/>
        <v>9650.1933333333327</v>
      </c>
      <c r="C14" s="6">
        <f t="shared" si="2"/>
        <v>29412.46</v>
      </c>
      <c r="D14" s="6">
        <f t="shared" si="3"/>
        <v>4902.0766666666668</v>
      </c>
      <c r="E14" s="2">
        <v>612007</v>
      </c>
      <c r="F14" s="2" t="s">
        <v>3</v>
      </c>
      <c r="G14" s="6">
        <v>8338.4599999999991</v>
      </c>
      <c r="H14" s="2">
        <v>612007</v>
      </c>
      <c r="I14" s="2" t="s">
        <v>3</v>
      </c>
      <c r="J14" s="21">
        <v>7862.86</v>
      </c>
      <c r="K14" s="2">
        <v>612007</v>
      </c>
      <c r="L14" s="2" t="s">
        <v>3</v>
      </c>
      <c r="M14" s="6">
        <v>12287.38</v>
      </c>
      <c r="N14" s="2">
        <v>612007</v>
      </c>
      <c r="O14" s="2" t="s">
        <v>3</v>
      </c>
      <c r="P14" s="21">
        <v>8722.94</v>
      </c>
      <c r="Q14" s="2">
        <v>612007</v>
      </c>
      <c r="R14" s="2" t="s">
        <v>3</v>
      </c>
      <c r="S14" s="6">
        <v>9638.1</v>
      </c>
      <c r="T14" s="2">
        <v>612007</v>
      </c>
      <c r="U14" s="2" t="s">
        <v>3</v>
      </c>
      <c r="V14" s="21">
        <v>11051.42</v>
      </c>
      <c r="X14" s="6"/>
    </row>
    <row r="15" spans="1:24" x14ac:dyDescent="0.15">
      <c r="A15" s="6">
        <f t="shared" si="0"/>
        <v>48140.779999999992</v>
      </c>
      <c r="B15" s="6">
        <f t="shared" si="1"/>
        <v>8023.4633333333322</v>
      </c>
      <c r="C15" s="6">
        <f t="shared" si="2"/>
        <v>24257.899999999998</v>
      </c>
      <c r="D15" s="6">
        <f t="shared" si="3"/>
        <v>4042.9833333333331</v>
      </c>
      <c r="E15" s="2">
        <v>612008</v>
      </c>
      <c r="F15" s="2" t="s">
        <v>51</v>
      </c>
      <c r="G15" s="6"/>
      <c r="H15" s="2">
        <v>612008</v>
      </c>
      <c r="I15" s="2" t="s">
        <v>51</v>
      </c>
      <c r="J15" s="21">
        <v>16123.15</v>
      </c>
      <c r="K15" s="2">
        <v>612008</v>
      </c>
      <c r="L15" s="2" t="s">
        <v>51</v>
      </c>
      <c r="M15" s="6">
        <v>7759.73</v>
      </c>
      <c r="N15" s="2">
        <v>612008</v>
      </c>
      <c r="O15" s="2" t="s">
        <v>51</v>
      </c>
      <c r="P15" s="21">
        <v>7892.71</v>
      </c>
      <c r="Q15" s="2">
        <v>612008</v>
      </c>
      <c r="R15" s="2" t="s">
        <v>51</v>
      </c>
      <c r="S15" s="6">
        <v>7910.98</v>
      </c>
      <c r="T15" s="2">
        <v>612008</v>
      </c>
      <c r="U15" s="2" t="s">
        <v>51</v>
      </c>
      <c r="V15" s="21">
        <v>8454.2099999999991</v>
      </c>
      <c r="X15" s="6"/>
    </row>
    <row r="16" spans="1:24" x14ac:dyDescent="0.15">
      <c r="A16" s="6">
        <f t="shared" si="0"/>
        <v>10157.83</v>
      </c>
      <c r="B16" s="6">
        <f t="shared" si="1"/>
        <v>1692.9716666666666</v>
      </c>
      <c r="C16" s="6">
        <f t="shared" si="2"/>
        <v>5391.32</v>
      </c>
      <c r="D16" s="6">
        <f t="shared" si="3"/>
        <v>898.55333333333328</v>
      </c>
      <c r="E16" s="2">
        <v>612009</v>
      </c>
      <c r="F16" s="2" t="s">
        <v>4</v>
      </c>
      <c r="G16" s="6">
        <v>922.41</v>
      </c>
      <c r="H16" s="2">
        <v>612009</v>
      </c>
      <c r="I16" s="2" t="s">
        <v>4</v>
      </c>
      <c r="J16" s="21">
        <v>1173.3800000000001</v>
      </c>
      <c r="K16" s="2">
        <v>612009</v>
      </c>
      <c r="L16" s="2" t="s">
        <v>4</v>
      </c>
      <c r="M16" s="6">
        <v>2670.72</v>
      </c>
      <c r="N16" s="2">
        <v>612009</v>
      </c>
      <c r="O16" s="2" t="s">
        <v>4</v>
      </c>
      <c r="P16" s="21">
        <v>1943.4</v>
      </c>
      <c r="Q16" s="2">
        <v>612009</v>
      </c>
      <c r="R16" s="2" t="s">
        <v>4</v>
      </c>
      <c r="S16" s="6">
        <v>1520.56</v>
      </c>
      <c r="T16" s="2">
        <v>612009</v>
      </c>
      <c r="U16" s="2" t="s">
        <v>4</v>
      </c>
      <c r="V16" s="21">
        <v>1927.36</v>
      </c>
      <c r="X16" s="6"/>
    </row>
    <row r="17" spans="1:24" x14ac:dyDescent="0.15">
      <c r="A17" s="6">
        <f t="shared" si="0"/>
        <v>5228.9499999999989</v>
      </c>
      <c r="B17" s="6">
        <f t="shared" si="1"/>
        <v>871.49166666666645</v>
      </c>
      <c r="C17" s="6">
        <f t="shared" si="2"/>
        <v>2735.07</v>
      </c>
      <c r="D17" s="6">
        <f t="shared" si="3"/>
        <v>455.84500000000003</v>
      </c>
      <c r="E17" s="2">
        <v>612010</v>
      </c>
      <c r="F17" s="2" t="s">
        <v>5</v>
      </c>
      <c r="G17" s="6">
        <v>100</v>
      </c>
      <c r="H17" s="2">
        <v>612010</v>
      </c>
      <c r="I17" s="2" t="s">
        <v>5</v>
      </c>
      <c r="J17" s="21">
        <v>2368.88</v>
      </c>
      <c r="K17" s="2">
        <v>612010</v>
      </c>
      <c r="L17" s="2" t="s">
        <v>5</v>
      </c>
      <c r="M17" s="6">
        <v>25</v>
      </c>
      <c r="N17" s="2">
        <v>612010</v>
      </c>
      <c r="O17" s="2" t="s">
        <v>5</v>
      </c>
      <c r="P17" s="21">
        <v>1899.27</v>
      </c>
      <c r="Q17" s="2">
        <v>612010</v>
      </c>
      <c r="R17" s="2" t="s">
        <v>5</v>
      </c>
      <c r="S17" s="6">
        <v>5.9</v>
      </c>
      <c r="T17" s="2">
        <v>612010</v>
      </c>
      <c r="U17" s="2" t="s">
        <v>5</v>
      </c>
      <c r="V17" s="21">
        <v>829.9</v>
      </c>
      <c r="X17" s="6"/>
    </row>
    <row r="18" spans="1:24" x14ac:dyDescent="0.15">
      <c r="A18" s="6">
        <f t="shared" si="0"/>
        <v>6218.32</v>
      </c>
      <c r="B18" s="6">
        <f t="shared" si="1"/>
        <v>1036.3866666666665</v>
      </c>
      <c r="C18" s="6">
        <f t="shared" si="2"/>
        <v>4028.77</v>
      </c>
      <c r="D18" s="6">
        <f t="shared" si="3"/>
        <v>671.4616666666667</v>
      </c>
      <c r="E18" s="2">
        <v>612011</v>
      </c>
      <c r="F18" s="2" t="s">
        <v>6</v>
      </c>
      <c r="G18" s="6">
        <v>1546.56</v>
      </c>
      <c r="H18" s="2">
        <v>612011</v>
      </c>
      <c r="I18" s="2" t="s">
        <v>6</v>
      </c>
      <c r="J18" s="21">
        <v>387.44</v>
      </c>
      <c r="K18" s="2">
        <v>612011</v>
      </c>
      <c r="L18" s="2" t="s">
        <v>6</v>
      </c>
      <c r="M18" s="6">
        <v>255.55</v>
      </c>
      <c r="N18" s="2">
        <v>612011</v>
      </c>
      <c r="O18" s="2" t="s">
        <v>6</v>
      </c>
      <c r="P18" s="21">
        <v>239</v>
      </c>
      <c r="Q18" s="2">
        <v>612011</v>
      </c>
      <c r="R18" s="2" t="s">
        <v>6</v>
      </c>
      <c r="S18" s="6">
        <v>3789.77</v>
      </c>
      <c r="T18" s="2">
        <v>612011</v>
      </c>
      <c r="U18" s="2" t="s">
        <v>6</v>
      </c>
      <c r="V18" s="21"/>
      <c r="X18" s="6"/>
    </row>
    <row r="19" spans="1:24" ht="14" thickBot="1" x14ac:dyDescent="0.2">
      <c r="A19" s="6">
        <f t="shared" si="0"/>
        <v>1822.64</v>
      </c>
      <c r="B19" s="6">
        <f t="shared" si="1"/>
        <v>303.77333333333337</v>
      </c>
      <c r="C19" s="6">
        <f t="shared" si="2"/>
        <v>150</v>
      </c>
      <c r="D19" s="6">
        <f t="shared" si="3"/>
        <v>25</v>
      </c>
      <c r="E19" s="7">
        <v>612012</v>
      </c>
      <c r="F19" s="7" t="s">
        <v>7</v>
      </c>
      <c r="G19" s="8">
        <v>1710.64</v>
      </c>
      <c r="H19" s="7">
        <v>612012</v>
      </c>
      <c r="I19" s="7" t="s">
        <v>7</v>
      </c>
      <c r="J19" s="22"/>
      <c r="K19" s="7">
        <v>612012</v>
      </c>
      <c r="L19" s="7" t="s">
        <v>7</v>
      </c>
      <c r="M19" s="8">
        <v>-38</v>
      </c>
      <c r="N19" s="7">
        <v>612012</v>
      </c>
      <c r="O19" s="7" t="s">
        <v>7</v>
      </c>
      <c r="P19" s="22">
        <v>150</v>
      </c>
      <c r="Q19" s="7">
        <v>612012</v>
      </c>
      <c r="R19" s="7" t="s">
        <v>7</v>
      </c>
      <c r="S19" s="7"/>
      <c r="T19" s="7">
        <v>612012</v>
      </c>
      <c r="U19" s="7" t="s">
        <v>7</v>
      </c>
      <c r="V19" s="22"/>
      <c r="X19" s="6"/>
    </row>
    <row r="20" spans="1:24" x14ac:dyDescent="0.15">
      <c r="A20" s="53"/>
      <c r="B20" s="53"/>
      <c r="C20" s="53"/>
      <c r="D20" s="53"/>
      <c r="E20" s="4">
        <v>613001</v>
      </c>
      <c r="F20" s="4" t="s">
        <v>8</v>
      </c>
      <c r="G20" s="5">
        <v>2607.84</v>
      </c>
      <c r="H20" s="4">
        <v>613001</v>
      </c>
      <c r="I20" s="4" t="s">
        <v>8</v>
      </c>
      <c r="J20" s="20">
        <v>2740.55</v>
      </c>
      <c r="K20" s="4">
        <v>613001</v>
      </c>
      <c r="L20" s="4" t="s">
        <v>8</v>
      </c>
      <c r="M20" s="5">
        <v>5709.09</v>
      </c>
      <c r="N20" s="4">
        <v>613001</v>
      </c>
      <c r="O20" s="4" t="s">
        <v>8</v>
      </c>
      <c r="P20" s="20">
        <v>3230.22</v>
      </c>
      <c r="Q20" s="4">
        <v>613001</v>
      </c>
      <c r="R20" s="4" t="s">
        <v>8</v>
      </c>
      <c r="S20" s="5">
        <v>5018.13</v>
      </c>
      <c r="T20" s="4">
        <v>613001</v>
      </c>
      <c r="U20" s="4" t="s">
        <v>8</v>
      </c>
      <c r="V20" s="20">
        <v>4322.6899999999996</v>
      </c>
      <c r="X20" s="6"/>
    </row>
    <row r="21" spans="1:24" x14ac:dyDescent="0.15">
      <c r="A21" s="53"/>
      <c r="B21" s="53"/>
      <c r="C21" s="53"/>
      <c r="D21" s="53"/>
      <c r="E21" s="2">
        <v>613002</v>
      </c>
      <c r="F21" s="2" t="s">
        <v>9</v>
      </c>
      <c r="G21" s="6">
        <v>556.48</v>
      </c>
      <c r="H21" s="2">
        <v>613002</v>
      </c>
      <c r="I21" s="2" t="s">
        <v>9</v>
      </c>
      <c r="J21" s="21">
        <v>561.07000000000005</v>
      </c>
      <c r="K21" s="2">
        <v>613002</v>
      </c>
      <c r="L21" s="2" t="s">
        <v>9</v>
      </c>
      <c r="M21" s="6">
        <v>452.28</v>
      </c>
      <c r="N21" s="2">
        <v>613002</v>
      </c>
      <c r="O21" s="2" t="s">
        <v>9</v>
      </c>
      <c r="P21" s="21">
        <v>432</v>
      </c>
      <c r="Q21" s="2">
        <v>613002</v>
      </c>
      <c r="R21" s="2" t="s">
        <v>9</v>
      </c>
      <c r="S21" s="6">
        <v>415.97</v>
      </c>
      <c r="T21" s="2">
        <v>613002</v>
      </c>
      <c r="U21" s="2" t="s">
        <v>9</v>
      </c>
      <c r="V21" s="21">
        <v>399.36</v>
      </c>
      <c r="X21" s="6"/>
    </row>
    <row r="22" spans="1:24" x14ac:dyDescent="0.15">
      <c r="A22" s="57"/>
      <c r="B22" s="57"/>
      <c r="C22" s="57"/>
      <c r="D22" s="57"/>
      <c r="E22" s="2">
        <v>613003</v>
      </c>
      <c r="F22" s="2" t="s">
        <v>52</v>
      </c>
      <c r="G22" s="6"/>
      <c r="H22" s="2">
        <v>613003</v>
      </c>
      <c r="I22" s="2" t="s">
        <v>52</v>
      </c>
      <c r="J22" s="21"/>
      <c r="K22" s="2">
        <v>613003</v>
      </c>
      <c r="L22" s="2" t="s">
        <v>52</v>
      </c>
      <c r="M22" s="6"/>
      <c r="N22" s="2">
        <v>613003</v>
      </c>
      <c r="O22" s="2" t="s">
        <v>52</v>
      </c>
      <c r="P22" s="21">
        <v>75</v>
      </c>
      <c r="Q22" s="2">
        <v>613003</v>
      </c>
      <c r="R22" s="2" t="s">
        <v>52</v>
      </c>
      <c r="S22" s="6"/>
      <c r="T22" s="2">
        <v>613003</v>
      </c>
      <c r="U22" s="2" t="s">
        <v>52</v>
      </c>
      <c r="V22" s="21"/>
      <c r="X22" s="6"/>
    </row>
    <row r="23" spans="1:24" x14ac:dyDescent="0.15">
      <c r="A23" s="6">
        <f>+$G23+$J23+$M23+$P23+$S23+$V23</f>
        <v>910.40000000000009</v>
      </c>
      <c r="B23" s="6">
        <f>+A23/6</f>
        <v>151.73333333333335</v>
      </c>
      <c r="C23" s="6">
        <f>$P23+$S23+$V23</f>
        <v>634.77</v>
      </c>
      <c r="D23" s="6">
        <f>+C23/6</f>
        <v>105.795</v>
      </c>
      <c r="E23" s="2">
        <v>613004</v>
      </c>
      <c r="F23" s="2" t="s">
        <v>10</v>
      </c>
      <c r="G23" s="6">
        <v>133.58000000000001</v>
      </c>
      <c r="H23" s="2">
        <v>613004</v>
      </c>
      <c r="I23" s="2" t="s">
        <v>10</v>
      </c>
      <c r="J23" s="21">
        <v>133.58000000000001</v>
      </c>
      <c r="K23" s="2">
        <v>613004</v>
      </c>
      <c r="L23" s="2" t="s">
        <v>10</v>
      </c>
      <c r="M23" s="6">
        <v>8.4700000000000006</v>
      </c>
      <c r="N23" s="2">
        <v>613004</v>
      </c>
      <c r="O23" s="2" t="s">
        <v>10</v>
      </c>
      <c r="P23" s="21">
        <v>383.21</v>
      </c>
      <c r="Q23" s="2">
        <v>613004</v>
      </c>
      <c r="R23" s="2" t="s">
        <v>10</v>
      </c>
      <c r="S23" s="6">
        <v>251.56</v>
      </c>
      <c r="T23" s="2">
        <v>613004</v>
      </c>
      <c r="U23" s="2" t="s">
        <v>10</v>
      </c>
      <c r="V23" s="21"/>
      <c r="X23" s="6"/>
    </row>
    <row r="24" spans="1:24" ht="14" thickBot="1" x14ac:dyDescent="0.2">
      <c r="A24" s="6">
        <f>+$G24+$J24+$M24+$P24+$S24+$V24</f>
        <v>3135.1499999999996</v>
      </c>
      <c r="B24" s="6">
        <f>+A24/6</f>
        <v>522.52499999999998</v>
      </c>
      <c r="C24" s="6">
        <f>$P24+$S24+$V24</f>
        <v>1778.6599999999999</v>
      </c>
      <c r="D24" s="6">
        <f>+C24/6</f>
        <v>296.44333333333333</v>
      </c>
      <c r="E24" s="7">
        <v>613006</v>
      </c>
      <c r="F24" s="7" t="s">
        <v>69</v>
      </c>
      <c r="G24" s="7"/>
      <c r="H24" s="7">
        <v>613006</v>
      </c>
      <c r="I24" s="7" t="s">
        <v>69</v>
      </c>
      <c r="J24" s="22"/>
      <c r="K24" s="7">
        <v>613006</v>
      </c>
      <c r="L24" s="7" t="s">
        <v>69</v>
      </c>
      <c r="M24" s="8">
        <v>1356.49</v>
      </c>
      <c r="N24" s="7">
        <v>613006</v>
      </c>
      <c r="O24" s="7" t="s">
        <v>69</v>
      </c>
      <c r="P24" s="22">
        <v>673.29</v>
      </c>
      <c r="Q24" s="7">
        <v>613006</v>
      </c>
      <c r="R24" s="7" t="s">
        <v>69</v>
      </c>
      <c r="S24" s="8">
        <v>1105.3699999999999</v>
      </c>
      <c r="T24" s="7">
        <v>613006</v>
      </c>
      <c r="U24" s="7" t="s">
        <v>69</v>
      </c>
      <c r="V24" s="22"/>
      <c r="X24" s="6"/>
    </row>
    <row r="25" spans="1:24" x14ac:dyDescent="0.15">
      <c r="A25" s="6">
        <f t="shared" ref="A25:A41" si="4">+$G25+$J25+$M25+$P25+$S25+$V25</f>
        <v>11435.41</v>
      </c>
      <c r="B25" s="6">
        <f t="shared" ref="B25:B41" si="5">+A25/6</f>
        <v>1905.9016666666666</v>
      </c>
      <c r="C25" s="6">
        <f t="shared" ref="C25:C41" si="6">$P25+$S25+$V25</f>
        <v>4796.83</v>
      </c>
      <c r="D25" s="6">
        <f t="shared" ref="D25:D41" si="7">+C25/6</f>
        <v>799.47166666666669</v>
      </c>
      <c r="E25" s="4">
        <v>614000</v>
      </c>
      <c r="F25" s="4" t="s">
        <v>11</v>
      </c>
      <c r="G25" s="5">
        <v>2993.35</v>
      </c>
      <c r="H25" s="4">
        <v>614000</v>
      </c>
      <c r="I25" s="4" t="s">
        <v>11</v>
      </c>
      <c r="J25" s="20">
        <v>2156.11</v>
      </c>
      <c r="K25" s="4">
        <v>614000</v>
      </c>
      <c r="L25" s="4" t="s">
        <v>11</v>
      </c>
      <c r="M25" s="5">
        <v>1489.12</v>
      </c>
      <c r="N25" s="4">
        <v>614000</v>
      </c>
      <c r="O25" s="4" t="s">
        <v>11</v>
      </c>
      <c r="P25" s="20">
        <v>1410.86</v>
      </c>
      <c r="Q25" s="4">
        <v>614000</v>
      </c>
      <c r="R25" s="4" t="s">
        <v>11</v>
      </c>
      <c r="S25" s="5">
        <v>1663.46</v>
      </c>
      <c r="T25" s="4">
        <v>614000</v>
      </c>
      <c r="U25" s="4" t="s">
        <v>11</v>
      </c>
      <c r="V25" s="20">
        <v>1722.51</v>
      </c>
      <c r="X25" s="6"/>
    </row>
    <row r="26" spans="1:24" ht="14" thickBot="1" x14ac:dyDescent="0.2">
      <c r="A26" s="6">
        <f t="shared" si="4"/>
        <v>8571.81</v>
      </c>
      <c r="B26" s="6">
        <f t="shared" si="5"/>
        <v>1428.635</v>
      </c>
      <c r="C26" s="6">
        <f t="shared" si="6"/>
        <v>4194.91</v>
      </c>
      <c r="D26" s="6">
        <f t="shared" si="7"/>
        <v>699.15166666666664</v>
      </c>
      <c r="E26" s="7">
        <v>614010</v>
      </c>
      <c r="F26" s="7" t="s">
        <v>12</v>
      </c>
      <c r="G26" s="8">
        <v>140.85</v>
      </c>
      <c r="H26" s="7">
        <v>614010</v>
      </c>
      <c r="I26" s="7" t="s">
        <v>12</v>
      </c>
      <c r="J26" s="24">
        <v>489.63</v>
      </c>
      <c r="K26" s="7">
        <v>614010</v>
      </c>
      <c r="L26" s="7" t="s">
        <v>12</v>
      </c>
      <c r="M26" s="8">
        <v>3746.42</v>
      </c>
      <c r="N26" s="7">
        <v>614010</v>
      </c>
      <c r="O26" s="7" t="s">
        <v>12</v>
      </c>
      <c r="P26" s="24">
        <v>2523.33</v>
      </c>
      <c r="Q26" s="7">
        <v>614010</v>
      </c>
      <c r="R26" s="7" t="s">
        <v>12</v>
      </c>
      <c r="S26" s="8">
        <v>1329.95</v>
      </c>
      <c r="T26" s="7">
        <v>614010</v>
      </c>
      <c r="U26" s="7" t="s">
        <v>12</v>
      </c>
      <c r="V26" s="24">
        <v>341.63</v>
      </c>
      <c r="X26" s="6"/>
    </row>
    <row r="27" spans="1:24" x14ac:dyDescent="0.15">
      <c r="A27" s="6">
        <f t="shared" si="4"/>
        <v>2378.58</v>
      </c>
      <c r="B27" s="6">
        <f t="shared" si="5"/>
        <v>396.43</v>
      </c>
      <c r="C27" s="6">
        <f t="shared" si="6"/>
        <v>0</v>
      </c>
      <c r="D27" s="6">
        <f t="shared" si="7"/>
        <v>0</v>
      </c>
      <c r="E27" s="4">
        <v>615000</v>
      </c>
      <c r="F27" s="4" t="s">
        <v>13</v>
      </c>
      <c r="G27" s="5">
        <v>1235.1300000000001</v>
      </c>
      <c r="H27" s="4"/>
      <c r="I27" s="4"/>
      <c r="J27" s="26"/>
      <c r="K27" s="4">
        <v>615000</v>
      </c>
      <c r="L27" s="4" t="s">
        <v>13</v>
      </c>
      <c r="M27" s="5">
        <v>1143.45</v>
      </c>
      <c r="N27" s="4"/>
      <c r="O27" s="4"/>
      <c r="P27" s="26"/>
      <c r="Q27" s="4"/>
      <c r="R27" s="4"/>
      <c r="S27" s="4"/>
      <c r="T27" s="4"/>
      <c r="U27" s="4"/>
      <c r="V27" s="26"/>
      <c r="X27" s="6"/>
    </row>
    <row r="28" spans="1:24" x14ac:dyDescent="0.15">
      <c r="A28" s="6">
        <f t="shared" si="4"/>
        <v>10155.9</v>
      </c>
      <c r="B28" s="6">
        <f t="shared" si="5"/>
        <v>1692.6499999999999</v>
      </c>
      <c r="C28" s="6">
        <f t="shared" si="6"/>
        <v>7586.73</v>
      </c>
      <c r="D28" s="6">
        <f t="shared" si="7"/>
        <v>1264.4549999999999</v>
      </c>
      <c r="E28" s="2">
        <v>615005</v>
      </c>
      <c r="F28" s="2" t="s">
        <v>70</v>
      </c>
      <c r="H28" s="2">
        <v>615005</v>
      </c>
      <c r="I28" s="2" t="s">
        <v>70</v>
      </c>
      <c r="J28" s="25"/>
      <c r="K28" s="2">
        <v>615005</v>
      </c>
      <c r="L28" s="2" t="s">
        <v>70</v>
      </c>
      <c r="M28" s="6">
        <v>2569.17</v>
      </c>
      <c r="N28" s="2">
        <v>615005</v>
      </c>
      <c r="O28" s="2" t="s">
        <v>70</v>
      </c>
      <c r="P28" s="25">
        <v>104.5</v>
      </c>
      <c r="Q28" s="2">
        <v>615005</v>
      </c>
      <c r="R28" s="2" t="s">
        <v>70</v>
      </c>
      <c r="S28" s="6">
        <v>2293.31</v>
      </c>
      <c r="T28" s="2">
        <v>615005</v>
      </c>
      <c r="U28" s="2" t="s">
        <v>70</v>
      </c>
      <c r="V28" s="25">
        <v>5188.92</v>
      </c>
      <c r="X28" s="6"/>
    </row>
    <row r="29" spans="1:24" x14ac:dyDescent="0.15">
      <c r="A29" s="6">
        <f t="shared" si="4"/>
        <v>1516.3</v>
      </c>
      <c r="B29" s="6">
        <f t="shared" si="5"/>
        <v>252.71666666666667</v>
      </c>
      <c r="C29" s="6">
        <f t="shared" si="6"/>
        <v>468.2</v>
      </c>
      <c r="D29" s="6">
        <f t="shared" si="7"/>
        <v>78.033333333333331</v>
      </c>
      <c r="E29" s="2">
        <v>615006</v>
      </c>
      <c r="F29" s="2" t="s">
        <v>53</v>
      </c>
      <c r="H29" s="2">
        <v>615006</v>
      </c>
      <c r="I29" s="2" t="s">
        <v>53</v>
      </c>
      <c r="J29" s="21">
        <v>745</v>
      </c>
      <c r="K29" s="2">
        <v>615006</v>
      </c>
      <c r="L29" s="2" t="s">
        <v>53</v>
      </c>
      <c r="M29" s="6">
        <v>303.10000000000002</v>
      </c>
      <c r="N29" s="2">
        <v>615006</v>
      </c>
      <c r="O29" s="2" t="s">
        <v>53</v>
      </c>
      <c r="P29" s="21">
        <v>468.2</v>
      </c>
      <c r="S29" s="6"/>
      <c r="V29" s="21"/>
      <c r="X29" s="6"/>
    </row>
    <row r="30" spans="1:24" x14ac:dyDescent="0.15">
      <c r="A30" s="6">
        <f t="shared" si="4"/>
        <v>1265.3499999999999</v>
      </c>
      <c r="B30" s="6">
        <f t="shared" si="5"/>
        <v>210.89166666666665</v>
      </c>
      <c r="C30" s="6">
        <f t="shared" si="6"/>
        <v>79.8</v>
      </c>
      <c r="D30" s="6">
        <f t="shared" si="7"/>
        <v>13.299999999999999</v>
      </c>
      <c r="E30" s="2">
        <v>615007</v>
      </c>
      <c r="F30" s="2" t="s">
        <v>14</v>
      </c>
      <c r="G30" s="6">
        <v>177.37</v>
      </c>
      <c r="H30" s="2">
        <v>615007</v>
      </c>
      <c r="I30" s="2" t="s">
        <v>14</v>
      </c>
      <c r="J30" s="21">
        <v>620.6</v>
      </c>
      <c r="K30" s="2">
        <v>615007</v>
      </c>
      <c r="L30" s="2" t="s">
        <v>14</v>
      </c>
      <c r="M30" s="6">
        <v>387.58</v>
      </c>
      <c r="N30" s="2">
        <v>615007</v>
      </c>
      <c r="O30" s="2" t="s">
        <v>14</v>
      </c>
      <c r="P30" s="21">
        <v>79.8</v>
      </c>
      <c r="S30" s="6"/>
      <c r="V30" s="21"/>
      <c r="X30" s="6"/>
    </row>
    <row r="31" spans="1:24" x14ac:dyDescent="0.15">
      <c r="A31" s="6">
        <f t="shared" si="4"/>
        <v>16375</v>
      </c>
      <c r="B31" s="6">
        <f t="shared" si="5"/>
        <v>2729.1666666666665</v>
      </c>
      <c r="C31" s="6">
        <f t="shared" si="6"/>
        <v>4875</v>
      </c>
      <c r="D31" s="6">
        <f t="shared" si="7"/>
        <v>812.5</v>
      </c>
      <c r="E31" s="2">
        <v>615008</v>
      </c>
      <c r="F31" s="2" t="s">
        <v>15</v>
      </c>
      <c r="G31" s="6">
        <v>3500</v>
      </c>
      <c r="H31" s="2">
        <v>615008</v>
      </c>
      <c r="I31" s="2" t="s">
        <v>15</v>
      </c>
      <c r="J31" s="21">
        <v>4500</v>
      </c>
      <c r="K31" s="2">
        <v>615008</v>
      </c>
      <c r="L31" s="2" t="s">
        <v>15</v>
      </c>
      <c r="M31" s="6">
        <v>3500</v>
      </c>
      <c r="N31" s="2">
        <v>615008</v>
      </c>
      <c r="O31" s="2" t="s">
        <v>15</v>
      </c>
      <c r="P31" s="21">
        <v>2500</v>
      </c>
      <c r="Q31" s="2">
        <v>615008</v>
      </c>
      <c r="R31" s="2" t="s">
        <v>15</v>
      </c>
      <c r="S31" s="6">
        <v>2375</v>
      </c>
      <c r="V31" s="21"/>
      <c r="X31" s="6"/>
    </row>
    <row r="32" spans="1:24" x14ac:dyDescent="0.15">
      <c r="A32" s="6">
        <f t="shared" si="4"/>
        <v>66310.649999999994</v>
      </c>
      <c r="B32" s="6">
        <f t="shared" si="5"/>
        <v>11051.775</v>
      </c>
      <c r="C32" s="6">
        <f t="shared" si="6"/>
        <v>21362</v>
      </c>
      <c r="D32" s="6">
        <f t="shared" si="7"/>
        <v>3560.3333333333335</v>
      </c>
      <c r="E32" s="2">
        <v>615009</v>
      </c>
      <c r="F32" s="2" t="s">
        <v>16</v>
      </c>
      <c r="G32" s="6">
        <v>23870</v>
      </c>
      <c r="H32" s="2">
        <v>615009</v>
      </c>
      <c r="I32" s="2" t="s">
        <v>16</v>
      </c>
      <c r="J32" s="21">
        <v>14950</v>
      </c>
      <c r="K32" s="2">
        <v>615009</v>
      </c>
      <c r="L32" s="2" t="s">
        <v>16</v>
      </c>
      <c r="M32" s="6">
        <v>6128.65</v>
      </c>
      <c r="N32" s="2">
        <v>615009</v>
      </c>
      <c r="O32" s="2" t="s">
        <v>16</v>
      </c>
      <c r="P32" s="21">
        <v>7675</v>
      </c>
      <c r="Q32" s="2">
        <v>615009</v>
      </c>
      <c r="R32" s="2" t="s">
        <v>16</v>
      </c>
      <c r="S32" s="6">
        <v>5525</v>
      </c>
      <c r="T32" s="2">
        <v>615009</v>
      </c>
      <c r="U32" s="2" t="s">
        <v>16</v>
      </c>
      <c r="V32" s="21">
        <v>8162</v>
      </c>
      <c r="X32" s="6"/>
    </row>
    <row r="33" spans="1:24" x14ac:dyDescent="0.15">
      <c r="A33" s="6">
        <f t="shared" si="4"/>
        <v>20236.61</v>
      </c>
      <c r="B33" s="6">
        <f t="shared" si="5"/>
        <v>3372.7683333333334</v>
      </c>
      <c r="C33" s="6">
        <f t="shared" si="6"/>
        <v>6965.6600000000008</v>
      </c>
      <c r="D33" s="6">
        <f t="shared" si="7"/>
        <v>1160.9433333333334</v>
      </c>
      <c r="E33" s="2">
        <v>615010</v>
      </c>
      <c r="F33" s="2" t="s">
        <v>17</v>
      </c>
      <c r="G33" s="6">
        <v>7629.54</v>
      </c>
      <c r="H33" s="2">
        <v>615010</v>
      </c>
      <c r="I33" s="2" t="s">
        <v>17</v>
      </c>
      <c r="J33" s="25"/>
      <c r="K33" s="2">
        <v>615010</v>
      </c>
      <c r="L33" s="2" t="s">
        <v>17</v>
      </c>
      <c r="M33" s="6">
        <v>5641.41</v>
      </c>
      <c r="P33" s="25"/>
      <c r="Q33" s="2">
        <v>615010</v>
      </c>
      <c r="R33" s="2" t="s">
        <v>17</v>
      </c>
      <c r="S33" s="6">
        <v>6908.81</v>
      </c>
      <c r="T33" s="2">
        <v>615010</v>
      </c>
      <c r="U33" s="2" t="s">
        <v>17</v>
      </c>
      <c r="V33" s="25">
        <v>56.85</v>
      </c>
      <c r="X33" s="6"/>
    </row>
    <row r="34" spans="1:24" x14ac:dyDescent="0.15">
      <c r="A34" s="6"/>
      <c r="B34" s="6"/>
      <c r="C34" s="6"/>
      <c r="D34" s="6"/>
      <c r="G34" s="6"/>
      <c r="J34" s="25"/>
      <c r="M34" s="6"/>
      <c r="P34" s="25"/>
      <c r="Q34" s="2">
        <v>615011</v>
      </c>
      <c r="R34" s="2" t="s">
        <v>90</v>
      </c>
      <c r="S34" s="6">
        <v>-353.25</v>
      </c>
      <c r="V34" s="25"/>
      <c r="X34" s="6"/>
    </row>
    <row r="35" spans="1:24" x14ac:dyDescent="0.15">
      <c r="A35" s="6">
        <f t="shared" si="4"/>
        <v>12921.9</v>
      </c>
      <c r="B35" s="6">
        <f t="shared" si="5"/>
        <v>2153.65</v>
      </c>
      <c r="C35" s="6">
        <f t="shared" si="6"/>
        <v>8121.9</v>
      </c>
      <c r="D35" s="6">
        <f t="shared" si="7"/>
        <v>1353.6499999999999</v>
      </c>
      <c r="E35" s="2">
        <v>615012</v>
      </c>
      <c r="F35" s="2" t="s">
        <v>18</v>
      </c>
      <c r="G35" s="6">
        <v>1800</v>
      </c>
      <c r="H35" s="2">
        <v>615012</v>
      </c>
      <c r="I35" s="2" t="s">
        <v>18</v>
      </c>
      <c r="J35" s="25"/>
      <c r="K35" s="2">
        <v>615012</v>
      </c>
      <c r="L35" s="2" t="s">
        <v>18</v>
      </c>
      <c r="M35" s="6">
        <v>3000</v>
      </c>
      <c r="N35" s="2">
        <v>615012</v>
      </c>
      <c r="O35" s="2" t="s">
        <v>18</v>
      </c>
      <c r="P35" s="25">
        <v>2773.5</v>
      </c>
      <c r="Q35" s="2">
        <v>615012</v>
      </c>
      <c r="R35" s="2" t="s">
        <v>18</v>
      </c>
      <c r="S35" s="6">
        <v>5048.3999999999996</v>
      </c>
      <c r="T35" s="2">
        <v>615012</v>
      </c>
      <c r="U35" s="2" t="s">
        <v>18</v>
      </c>
      <c r="V35" s="25">
        <v>300</v>
      </c>
      <c r="X35" s="6"/>
    </row>
    <row r="36" spans="1:24" x14ac:dyDescent="0.15">
      <c r="A36" s="6">
        <f t="shared" si="4"/>
        <v>46921.850000000006</v>
      </c>
      <c r="B36" s="6">
        <f t="shared" si="5"/>
        <v>7820.3083333333343</v>
      </c>
      <c r="C36" s="6">
        <f t="shared" si="6"/>
        <v>38541.850000000006</v>
      </c>
      <c r="D36" s="6">
        <f t="shared" si="7"/>
        <v>6423.6416666666673</v>
      </c>
      <c r="E36" s="2">
        <v>615013</v>
      </c>
      <c r="F36" s="2" t="s">
        <v>71</v>
      </c>
      <c r="H36" s="2">
        <v>615013</v>
      </c>
      <c r="I36" s="2" t="s">
        <v>71</v>
      </c>
      <c r="J36" s="25"/>
      <c r="K36" s="2">
        <v>615013</v>
      </c>
      <c r="L36" s="2" t="s">
        <v>71</v>
      </c>
      <c r="M36" s="6">
        <v>8380</v>
      </c>
      <c r="N36" s="2">
        <v>615013</v>
      </c>
      <c r="O36" s="2" t="s">
        <v>71</v>
      </c>
      <c r="P36" s="25">
        <v>31648.240000000002</v>
      </c>
      <c r="Q36" s="2">
        <v>615013</v>
      </c>
      <c r="R36" s="2" t="s">
        <v>71</v>
      </c>
      <c r="S36" s="6">
        <v>5000</v>
      </c>
      <c r="T36" s="2">
        <v>615013</v>
      </c>
      <c r="U36" s="2" t="s">
        <v>71</v>
      </c>
      <c r="V36" s="25">
        <v>1893.61</v>
      </c>
      <c r="X36" s="6"/>
    </row>
    <row r="37" spans="1:24" x14ac:dyDescent="0.15">
      <c r="A37" s="6">
        <f t="shared" si="4"/>
        <v>17062.34</v>
      </c>
      <c r="B37" s="6">
        <f t="shared" si="5"/>
        <v>2843.7233333333334</v>
      </c>
      <c r="C37" s="6">
        <f t="shared" si="6"/>
        <v>0</v>
      </c>
      <c r="D37" s="6">
        <f t="shared" si="7"/>
        <v>0</v>
      </c>
      <c r="E37" s="2">
        <v>615014</v>
      </c>
      <c r="F37" s="2" t="s">
        <v>19</v>
      </c>
      <c r="G37" s="6">
        <v>13858.96</v>
      </c>
      <c r="H37" s="2">
        <v>615014</v>
      </c>
      <c r="I37" s="2" t="s">
        <v>19</v>
      </c>
      <c r="J37" s="21">
        <v>3203.38</v>
      </c>
      <c r="K37" s="2">
        <v>615014</v>
      </c>
      <c r="L37" s="2" t="s">
        <v>19</v>
      </c>
      <c r="N37" s="2">
        <v>615014</v>
      </c>
      <c r="O37" s="2" t="s">
        <v>19</v>
      </c>
      <c r="P37" s="21"/>
      <c r="Q37" s="2">
        <v>615014</v>
      </c>
      <c r="R37" s="2" t="s">
        <v>19</v>
      </c>
      <c r="T37" s="2">
        <v>615014</v>
      </c>
      <c r="U37" s="2" t="s">
        <v>19</v>
      </c>
      <c r="V37" s="21"/>
      <c r="X37" s="6"/>
    </row>
    <row r="38" spans="1:24" ht="14" thickBot="1" x14ac:dyDescent="0.2">
      <c r="A38" s="6">
        <f t="shared" si="4"/>
        <v>12556.08</v>
      </c>
      <c r="B38" s="6">
        <f t="shared" si="5"/>
        <v>2092.6799999999998</v>
      </c>
      <c r="C38" s="6">
        <f t="shared" si="6"/>
        <v>9533.83</v>
      </c>
      <c r="D38" s="6">
        <f t="shared" si="7"/>
        <v>1588.9716666666666</v>
      </c>
      <c r="E38" s="7">
        <v>615015</v>
      </c>
      <c r="F38" s="7" t="s">
        <v>20</v>
      </c>
      <c r="G38" s="7"/>
      <c r="H38" s="7">
        <v>615015</v>
      </c>
      <c r="I38" s="7" t="s">
        <v>20</v>
      </c>
      <c r="J38" s="24">
        <v>2122.25</v>
      </c>
      <c r="K38" s="7">
        <v>615015</v>
      </c>
      <c r="L38" s="7" t="s">
        <v>20</v>
      </c>
      <c r="M38" s="8">
        <v>900</v>
      </c>
      <c r="N38" s="7">
        <v>615015</v>
      </c>
      <c r="O38" s="7" t="s">
        <v>20</v>
      </c>
      <c r="P38" s="24">
        <v>1817.16</v>
      </c>
      <c r="Q38" s="7">
        <v>615015</v>
      </c>
      <c r="R38" s="7" t="s">
        <v>20</v>
      </c>
      <c r="S38" s="8">
        <v>998.63</v>
      </c>
      <c r="T38" s="7">
        <v>615015</v>
      </c>
      <c r="U38" s="7" t="s">
        <v>20</v>
      </c>
      <c r="V38" s="24">
        <v>6718.04</v>
      </c>
      <c r="X38" s="6"/>
    </row>
    <row r="39" spans="1:24" x14ac:dyDescent="0.15">
      <c r="A39" s="6">
        <f t="shared" si="4"/>
        <v>2554.9499999999998</v>
      </c>
      <c r="B39" s="6">
        <f t="shared" si="5"/>
        <v>425.82499999999999</v>
      </c>
      <c r="C39" s="6">
        <f t="shared" si="6"/>
        <v>803.13</v>
      </c>
      <c r="D39" s="6">
        <f t="shared" si="7"/>
        <v>133.85499999999999</v>
      </c>
      <c r="E39" s="4">
        <v>616000</v>
      </c>
      <c r="F39" s="4" t="s">
        <v>54</v>
      </c>
      <c r="G39" s="4"/>
      <c r="H39" s="4">
        <v>616000</v>
      </c>
      <c r="I39" s="4" t="s">
        <v>54</v>
      </c>
      <c r="J39" s="20">
        <v>651.28</v>
      </c>
      <c r="K39" s="4">
        <v>616000</v>
      </c>
      <c r="L39" s="4" t="s">
        <v>54</v>
      </c>
      <c r="M39" s="5">
        <v>1100.54</v>
      </c>
      <c r="N39" s="4"/>
      <c r="O39" s="4"/>
      <c r="P39" s="20"/>
      <c r="Q39" s="4">
        <v>616000</v>
      </c>
      <c r="R39" s="4" t="s">
        <v>54</v>
      </c>
      <c r="S39" s="5">
        <v>803.13</v>
      </c>
      <c r="T39" s="4"/>
      <c r="U39" s="4"/>
      <c r="V39" s="20"/>
      <c r="X39" s="6"/>
    </row>
    <row r="40" spans="1:24" x14ac:dyDescent="0.15">
      <c r="A40" s="6">
        <f t="shared" si="4"/>
        <v>4728.26</v>
      </c>
      <c r="B40" s="6">
        <f t="shared" si="5"/>
        <v>788.04333333333341</v>
      </c>
      <c r="C40" s="6">
        <f t="shared" si="6"/>
        <v>2743.12</v>
      </c>
      <c r="D40" s="6">
        <f t="shared" si="7"/>
        <v>457.18666666666667</v>
      </c>
      <c r="E40" s="2">
        <v>616001</v>
      </c>
      <c r="F40" s="2" t="s">
        <v>21</v>
      </c>
      <c r="G40" s="6">
        <v>54.17</v>
      </c>
      <c r="H40" s="2">
        <v>616001</v>
      </c>
      <c r="I40" s="2" t="s">
        <v>21</v>
      </c>
      <c r="J40" s="21">
        <v>992.57</v>
      </c>
      <c r="K40" s="2">
        <v>616001</v>
      </c>
      <c r="L40" s="2" t="s">
        <v>21</v>
      </c>
      <c r="M40" s="6">
        <v>938.4</v>
      </c>
      <c r="N40" s="2">
        <v>616001</v>
      </c>
      <c r="O40" s="2" t="s">
        <v>21</v>
      </c>
      <c r="P40" s="21">
        <v>992.57</v>
      </c>
      <c r="Q40" s="2">
        <v>616001</v>
      </c>
      <c r="R40" s="2" t="s">
        <v>21</v>
      </c>
      <c r="S40" s="6"/>
      <c r="T40" s="2">
        <v>616001</v>
      </c>
      <c r="U40" s="2" t="s">
        <v>21</v>
      </c>
      <c r="V40" s="21">
        <v>1750.55</v>
      </c>
      <c r="X40" s="6"/>
    </row>
    <row r="41" spans="1:24" ht="14" thickBot="1" x14ac:dyDescent="0.2">
      <c r="A41" s="6">
        <f t="shared" si="4"/>
        <v>2634.59</v>
      </c>
      <c r="B41" s="6">
        <f t="shared" si="5"/>
        <v>439.09833333333336</v>
      </c>
      <c r="C41" s="6">
        <f t="shared" si="6"/>
        <v>821.01</v>
      </c>
      <c r="D41" s="6">
        <f t="shared" si="7"/>
        <v>136.83500000000001</v>
      </c>
      <c r="E41" s="7">
        <v>616002</v>
      </c>
      <c r="F41" s="7" t="s">
        <v>22</v>
      </c>
      <c r="G41" s="8">
        <v>1212.07</v>
      </c>
      <c r="H41" s="7">
        <v>616002</v>
      </c>
      <c r="I41" s="7" t="s">
        <v>22</v>
      </c>
      <c r="J41" s="24">
        <v>273.67</v>
      </c>
      <c r="K41" s="7">
        <v>616002</v>
      </c>
      <c r="L41" s="7" t="s">
        <v>22</v>
      </c>
      <c r="M41" s="8">
        <v>327.84</v>
      </c>
      <c r="N41" s="7">
        <v>616002</v>
      </c>
      <c r="O41" s="7" t="s">
        <v>22</v>
      </c>
      <c r="P41" s="24">
        <v>273.67</v>
      </c>
      <c r="Q41" s="7">
        <v>616002</v>
      </c>
      <c r="R41" s="7" t="s">
        <v>22</v>
      </c>
      <c r="S41" s="8"/>
      <c r="T41" s="7">
        <v>616002</v>
      </c>
      <c r="U41" s="7" t="s">
        <v>22</v>
      </c>
      <c r="V41" s="24">
        <v>547.34</v>
      </c>
      <c r="X41" s="6"/>
    </row>
    <row r="42" spans="1:24" x14ac:dyDescent="0.15">
      <c r="A42" s="6">
        <f t="shared" ref="A42:A49" si="8">+$G42+$J42+$M42+$P42+$S42+$V42</f>
        <v>65902.460000000006</v>
      </c>
      <c r="B42" s="6">
        <f t="shared" ref="B42:B49" si="9">+A42/6</f>
        <v>10983.743333333334</v>
      </c>
      <c r="C42" s="6">
        <f t="shared" ref="C42:C49" si="10">$P42+$S42+$V42</f>
        <v>34625.32</v>
      </c>
      <c r="D42" s="6">
        <f t="shared" ref="D42:D49" si="11">+C42/6</f>
        <v>5770.8866666666663</v>
      </c>
      <c r="E42" s="4">
        <v>617006</v>
      </c>
      <c r="F42" s="4" t="s">
        <v>23</v>
      </c>
      <c r="G42" s="5">
        <v>8524.65</v>
      </c>
      <c r="H42" s="4">
        <v>617006</v>
      </c>
      <c r="I42" s="4" t="s">
        <v>23</v>
      </c>
      <c r="J42" s="20">
        <v>6674.88</v>
      </c>
      <c r="K42" s="4">
        <v>617006</v>
      </c>
      <c r="L42" s="4" t="s">
        <v>23</v>
      </c>
      <c r="M42" s="5">
        <v>16077.61</v>
      </c>
      <c r="N42" s="4">
        <v>617006</v>
      </c>
      <c r="O42" s="4" t="s">
        <v>23</v>
      </c>
      <c r="P42" s="20">
        <v>11541.83</v>
      </c>
      <c r="Q42" s="4">
        <v>617006</v>
      </c>
      <c r="R42" s="4" t="s">
        <v>23</v>
      </c>
      <c r="S42" s="5">
        <v>11018.69</v>
      </c>
      <c r="T42" s="4">
        <v>617006</v>
      </c>
      <c r="U42" s="4" t="s">
        <v>23</v>
      </c>
      <c r="V42" s="20">
        <v>12064.8</v>
      </c>
      <c r="X42" s="6"/>
    </row>
    <row r="43" spans="1:24" x14ac:dyDescent="0.15">
      <c r="A43" s="6">
        <f t="shared" si="8"/>
        <v>49247.08</v>
      </c>
      <c r="B43" s="6">
        <f t="shared" si="9"/>
        <v>8207.8466666666664</v>
      </c>
      <c r="C43" s="6">
        <f t="shared" si="10"/>
        <v>33582.229999999996</v>
      </c>
      <c r="D43" s="6">
        <f t="shared" si="11"/>
        <v>5597.038333333333</v>
      </c>
      <c r="E43" s="2">
        <v>617007</v>
      </c>
      <c r="F43" s="2" t="s">
        <v>24</v>
      </c>
      <c r="G43" s="6">
        <v>2999.53</v>
      </c>
      <c r="H43" s="2">
        <v>617007</v>
      </c>
      <c r="I43" s="2" t="s">
        <v>24</v>
      </c>
      <c r="J43" s="21">
        <v>2805.81</v>
      </c>
      <c r="K43" s="2">
        <v>617007</v>
      </c>
      <c r="L43" s="2" t="s">
        <v>24</v>
      </c>
      <c r="M43" s="6">
        <v>9859.51</v>
      </c>
      <c r="N43" s="2">
        <v>617007</v>
      </c>
      <c r="O43" s="2" t="s">
        <v>24</v>
      </c>
      <c r="P43" s="21">
        <v>13509</v>
      </c>
      <c r="Q43" s="2">
        <v>617007</v>
      </c>
      <c r="R43" s="2" t="s">
        <v>24</v>
      </c>
      <c r="S43" s="6">
        <v>11541</v>
      </c>
      <c r="T43" s="2">
        <v>617007</v>
      </c>
      <c r="U43" s="2" t="s">
        <v>24</v>
      </c>
      <c r="V43" s="21">
        <v>8532.23</v>
      </c>
      <c r="X43" s="6"/>
    </row>
    <row r="44" spans="1:24" x14ac:dyDescent="0.15">
      <c r="A44" s="6">
        <f t="shared" si="8"/>
        <v>55276.28</v>
      </c>
      <c r="B44" s="6">
        <f t="shared" si="9"/>
        <v>9212.7133333333331</v>
      </c>
      <c r="C44" s="6">
        <f t="shared" si="10"/>
        <v>29524.27</v>
      </c>
      <c r="D44" s="6">
        <f t="shared" si="11"/>
        <v>4920.711666666667</v>
      </c>
      <c r="E44" s="2">
        <v>617008</v>
      </c>
      <c r="F44" s="2" t="s">
        <v>25</v>
      </c>
      <c r="G44" s="6">
        <v>13064.3</v>
      </c>
      <c r="H44" s="2">
        <v>617008</v>
      </c>
      <c r="I44" s="2" t="s">
        <v>25</v>
      </c>
      <c r="J44" s="21">
        <v>3219.75</v>
      </c>
      <c r="K44" s="2">
        <v>617008</v>
      </c>
      <c r="L44" s="2" t="s">
        <v>25</v>
      </c>
      <c r="M44" s="6">
        <v>9467.9599999999991</v>
      </c>
      <c r="N44" s="2">
        <v>617008</v>
      </c>
      <c r="O44" s="2" t="s">
        <v>25</v>
      </c>
      <c r="P44" s="21">
        <v>7503.15</v>
      </c>
      <c r="Q44" s="2">
        <v>617008</v>
      </c>
      <c r="R44" s="2" t="s">
        <v>25</v>
      </c>
      <c r="S44" s="6">
        <v>10857.67</v>
      </c>
      <c r="T44" s="2">
        <v>617008</v>
      </c>
      <c r="U44" s="2" t="s">
        <v>25</v>
      </c>
      <c r="V44" s="21">
        <v>11163.45</v>
      </c>
      <c r="X44" s="6"/>
    </row>
    <row r="45" spans="1:24" x14ac:dyDescent="0.15">
      <c r="A45" s="6">
        <f t="shared" si="8"/>
        <v>2653.51</v>
      </c>
      <c r="B45" s="6">
        <f t="shared" si="9"/>
        <v>442.25166666666672</v>
      </c>
      <c r="C45" s="6">
        <f t="shared" si="10"/>
        <v>2458.21</v>
      </c>
      <c r="D45" s="6">
        <f t="shared" si="11"/>
        <v>409.70166666666665</v>
      </c>
      <c r="E45" s="2">
        <v>617009</v>
      </c>
      <c r="F45" s="2" t="s">
        <v>72</v>
      </c>
      <c r="G45" s="6"/>
      <c r="H45" s="2">
        <v>617009</v>
      </c>
      <c r="I45" s="2" t="s">
        <v>72</v>
      </c>
      <c r="J45" s="21"/>
      <c r="K45" s="2">
        <v>617009</v>
      </c>
      <c r="L45" s="2" t="s">
        <v>72</v>
      </c>
      <c r="M45" s="6">
        <v>195.3</v>
      </c>
      <c r="N45" s="2">
        <v>617009</v>
      </c>
      <c r="O45" s="2" t="s">
        <v>72</v>
      </c>
      <c r="P45" s="21">
        <v>591.6</v>
      </c>
      <c r="Q45" s="2">
        <v>617009</v>
      </c>
      <c r="R45" s="2" t="s">
        <v>72</v>
      </c>
      <c r="S45" s="6">
        <v>1036.68</v>
      </c>
      <c r="T45" s="2">
        <v>617009</v>
      </c>
      <c r="U45" s="2" t="s">
        <v>72</v>
      </c>
      <c r="V45" s="21">
        <v>829.93</v>
      </c>
      <c r="X45" s="6"/>
    </row>
    <row r="46" spans="1:24" x14ac:dyDescent="0.15">
      <c r="A46" s="6">
        <f t="shared" si="8"/>
        <v>22116.639999999999</v>
      </c>
      <c r="B46" s="6">
        <f t="shared" si="9"/>
        <v>3686.1066666666666</v>
      </c>
      <c r="C46" s="6">
        <f t="shared" si="10"/>
        <v>8232.09</v>
      </c>
      <c r="D46" s="6">
        <f t="shared" si="11"/>
        <v>1372.0150000000001</v>
      </c>
      <c r="E46" s="2">
        <v>617010</v>
      </c>
      <c r="F46" s="2" t="s">
        <v>55</v>
      </c>
      <c r="H46" s="2">
        <v>617010</v>
      </c>
      <c r="I46" s="2" t="s">
        <v>55</v>
      </c>
      <c r="J46" s="21">
        <v>4419</v>
      </c>
      <c r="K46" s="2">
        <v>617010</v>
      </c>
      <c r="L46" s="2" t="s">
        <v>55</v>
      </c>
      <c r="M46" s="6">
        <v>9465.5499999999993</v>
      </c>
      <c r="N46" s="2">
        <v>617010</v>
      </c>
      <c r="O46" s="2" t="s">
        <v>55</v>
      </c>
      <c r="P46" s="21">
        <v>35.39</v>
      </c>
      <c r="Q46" s="2">
        <v>617010</v>
      </c>
      <c r="R46" s="2" t="s">
        <v>55</v>
      </c>
      <c r="S46" s="6">
        <v>4517.7</v>
      </c>
      <c r="T46" s="2">
        <v>617010</v>
      </c>
      <c r="U46" s="2" t="s">
        <v>55</v>
      </c>
      <c r="V46" s="21">
        <v>3679</v>
      </c>
      <c r="X46" s="6"/>
    </row>
    <row r="47" spans="1:24" x14ac:dyDescent="0.15">
      <c r="A47" s="6">
        <f t="shared" si="8"/>
        <v>71007.59</v>
      </c>
      <c r="B47" s="6">
        <f t="shared" si="9"/>
        <v>11834.598333333333</v>
      </c>
      <c r="C47" s="6">
        <f t="shared" si="10"/>
        <v>33312.29</v>
      </c>
      <c r="D47" s="6">
        <f t="shared" si="11"/>
        <v>5552.0483333333332</v>
      </c>
      <c r="E47" s="2">
        <v>617100</v>
      </c>
      <c r="F47" s="2" t="s">
        <v>26</v>
      </c>
      <c r="G47" s="6">
        <v>11329.28</v>
      </c>
      <c r="H47" s="2">
        <v>617100</v>
      </c>
      <c r="I47" s="2" t="s">
        <v>26</v>
      </c>
      <c r="J47" s="21">
        <v>12495.6</v>
      </c>
      <c r="K47" s="2">
        <v>617100</v>
      </c>
      <c r="L47" s="2" t="s">
        <v>26</v>
      </c>
      <c r="M47" s="6">
        <v>13870.42</v>
      </c>
      <c r="N47" s="2">
        <v>617100</v>
      </c>
      <c r="O47" s="2" t="s">
        <v>26</v>
      </c>
      <c r="P47" s="21">
        <v>9528.6</v>
      </c>
      <c r="Q47" s="2">
        <v>617100</v>
      </c>
      <c r="R47" s="2" t="s">
        <v>26</v>
      </c>
      <c r="S47" s="6">
        <v>11066.65</v>
      </c>
      <c r="T47" s="2">
        <v>617100</v>
      </c>
      <c r="U47" s="2" t="s">
        <v>26</v>
      </c>
      <c r="V47" s="21">
        <v>12717.04</v>
      </c>
      <c r="X47" s="6"/>
    </row>
    <row r="48" spans="1:24" x14ac:dyDescent="0.15">
      <c r="A48" s="6">
        <f t="shared" si="8"/>
        <v>764.06</v>
      </c>
      <c r="B48" s="6">
        <f t="shared" si="9"/>
        <v>127.34333333333332</v>
      </c>
      <c r="C48" s="6">
        <f t="shared" si="10"/>
        <v>754.06</v>
      </c>
      <c r="D48" s="6">
        <f t="shared" si="11"/>
        <v>125.67666666666666</v>
      </c>
      <c r="E48" s="2">
        <v>617700</v>
      </c>
      <c r="F48" s="2" t="s">
        <v>73</v>
      </c>
      <c r="H48" s="2">
        <v>617700</v>
      </c>
      <c r="I48" s="2" t="s">
        <v>73</v>
      </c>
      <c r="J48" s="25"/>
      <c r="K48" s="2">
        <v>617700</v>
      </c>
      <c r="L48" s="2" t="s">
        <v>73</v>
      </c>
      <c r="M48" s="6">
        <v>10</v>
      </c>
      <c r="N48" s="2">
        <v>617700</v>
      </c>
      <c r="O48" s="2" t="s">
        <v>73</v>
      </c>
      <c r="P48" s="25">
        <v>312.44</v>
      </c>
      <c r="Q48" s="2">
        <v>617700</v>
      </c>
      <c r="R48" s="2" t="s">
        <v>73</v>
      </c>
      <c r="S48" s="6">
        <v>222.62</v>
      </c>
      <c r="T48" s="2">
        <v>617700</v>
      </c>
      <c r="U48" s="2" t="s">
        <v>73</v>
      </c>
      <c r="V48" s="25">
        <v>219</v>
      </c>
      <c r="X48" s="6"/>
    </row>
    <row r="49" spans="1:24" ht="14" thickBot="1" x14ac:dyDescent="0.2">
      <c r="A49" s="6">
        <f t="shared" si="8"/>
        <v>78.8</v>
      </c>
      <c r="B49" s="6">
        <f t="shared" si="9"/>
        <v>13.133333333333333</v>
      </c>
      <c r="C49" s="6">
        <f t="shared" si="10"/>
        <v>58.5</v>
      </c>
      <c r="D49" s="6">
        <f t="shared" si="11"/>
        <v>9.75</v>
      </c>
      <c r="E49" s="7">
        <v>617800</v>
      </c>
      <c r="F49" s="7" t="s">
        <v>74</v>
      </c>
      <c r="G49" s="7"/>
      <c r="H49" s="7">
        <v>617800</v>
      </c>
      <c r="I49" s="7" t="s">
        <v>74</v>
      </c>
      <c r="J49" s="22"/>
      <c r="K49" s="7">
        <v>617800</v>
      </c>
      <c r="L49" s="7" t="s">
        <v>74</v>
      </c>
      <c r="M49" s="8">
        <v>20.3</v>
      </c>
      <c r="N49" s="7">
        <v>617800</v>
      </c>
      <c r="O49" s="7" t="s">
        <v>74</v>
      </c>
      <c r="P49" s="22">
        <v>7.2</v>
      </c>
      <c r="Q49" s="7"/>
      <c r="R49" s="7"/>
      <c r="S49" s="7"/>
      <c r="T49" s="7">
        <v>617800</v>
      </c>
      <c r="U49" s="7" t="s">
        <v>74</v>
      </c>
      <c r="V49" s="22">
        <v>51.3</v>
      </c>
      <c r="X49" s="6"/>
    </row>
    <row r="50" spans="1:24" x14ac:dyDescent="0.15">
      <c r="A50" s="53"/>
      <c r="B50" s="53"/>
      <c r="C50" s="53"/>
      <c r="D50" s="53"/>
      <c r="E50" s="4">
        <v>620200</v>
      </c>
      <c r="F50" s="4" t="s">
        <v>27</v>
      </c>
      <c r="G50" s="5">
        <v>21265.41</v>
      </c>
      <c r="H50" s="4">
        <v>620200</v>
      </c>
      <c r="I50" s="4" t="s">
        <v>27</v>
      </c>
      <c r="J50" s="20">
        <v>22482.44</v>
      </c>
      <c r="K50" s="4">
        <v>620200</v>
      </c>
      <c r="L50" s="4" t="s">
        <v>27</v>
      </c>
      <c r="M50" s="5">
        <v>21865.65</v>
      </c>
      <c r="N50" s="4">
        <v>620200</v>
      </c>
      <c r="O50" s="4" t="s">
        <v>27</v>
      </c>
      <c r="P50" s="20">
        <v>20873.080000000002</v>
      </c>
      <c r="Q50" s="4">
        <v>620200</v>
      </c>
      <c r="R50" s="4" t="s">
        <v>27</v>
      </c>
      <c r="S50" s="5">
        <v>20458.580000000002</v>
      </c>
      <c r="T50" s="4">
        <v>620200</v>
      </c>
      <c r="U50" s="4" t="s">
        <v>27</v>
      </c>
      <c r="V50" s="20">
        <v>19607.080000000002</v>
      </c>
      <c r="X50" s="6"/>
    </row>
    <row r="51" spans="1:24" x14ac:dyDescent="0.15">
      <c r="A51" s="53"/>
      <c r="B51" s="53"/>
      <c r="C51" s="53"/>
      <c r="D51" s="53"/>
      <c r="E51" s="2">
        <v>620201</v>
      </c>
      <c r="F51" s="2" t="s">
        <v>28</v>
      </c>
      <c r="G51" s="6">
        <v>1622.09</v>
      </c>
      <c r="H51" s="2">
        <v>620201</v>
      </c>
      <c r="I51" s="2" t="s">
        <v>28</v>
      </c>
      <c r="J51" s="21">
        <v>1622.24</v>
      </c>
      <c r="K51" s="2">
        <v>620201</v>
      </c>
      <c r="L51" s="2" t="s">
        <v>28</v>
      </c>
      <c r="M51" s="6">
        <v>1588.57</v>
      </c>
      <c r="N51" s="2">
        <v>620201</v>
      </c>
      <c r="O51" s="2" t="s">
        <v>28</v>
      </c>
      <c r="P51" s="21">
        <v>1511.22</v>
      </c>
      <c r="Q51" s="2">
        <v>620201</v>
      </c>
      <c r="R51" s="2" t="s">
        <v>28</v>
      </c>
      <c r="S51" s="6">
        <v>1498.66</v>
      </c>
      <c r="T51" s="2">
        <v>620201</v>
      </c>
      <c r="U51" s="2" t="s">
        <v>28</v>
      </c>
      <c r="V51" s="21">
        <v>1434.42</v>
      </c>
      <c r="X51" s="6"/>
    </row>
    <row r="52" spans="1:24" x14ac:dyDescent="0.15">
      <c r="A52" s="53"/>
      <c r="B52" s="53"/>
      <c r="C52" s="53"/>
      <c r="D52" s="53"/>
      <c r="E52" s="2">
        <v>620210</v>
      </c>
      <c r="F52" s="2" t="s">
        <v>29</v>
      </c>
      <c r="G52" s="6">
        <v>758.4</v>
      </c>
      <c r="H52" s="2">
        <v>620210</v>
      </c>
      <c r="I52" s="2" t="s">
        <v>29</v>
      </c>
      <c r="J52" s="21">
        <v>786.53</v>
      </c>
      <c r="K52" s="2">
        <v>620210</v>
      </c>
      <c r="L52" s="2" t="s">
        <v>29</v>
      </c>
      <c r="M52" s="6">
        <v>1034.74</v>
      </c>
      <c r="N52" s="2">
        <v>620210</v>
      </c>
      <c r="O52" s="2" t="s">
        <v>29</v>
      </c>
      <c r="P52" s="21">
        <v>399.6</v>
      </c>
      <c r="Q52" s="2">
        <v>620210</v>
      </c>
      <c r="R52" s="2" t="s">
        <v>29</v>
      </c>
      <c r="S52" s="6">
        <v>390</v>
      </c>
      <c r="T52" s="2">
        <v>620210</v>
      </c>
      <c r="U52" s="2" t="s">
        <v>29</v>
      </c>
      <c r="V52" s="21">
        <v>380.4</v>
      </c>
      <c r="X52" s="6"/>
    </row>
    <row r="53" spans="1:24" x14ac:dyDescent="0.15">
      <c r="A53" s="53"/>
      <c r="B53" s="53"/>
      <c r="C53" s="53"/>
      <c r="D53" s="53"/>
      <c r="E53" s="2">
        <v>620211</v>
      </c>
      <c r="F53" s="2" t="s">
        <v>30</v>
      </c>
      <c r="G53" s="6">
        <v>174</v>
      </c>
      <c r="H53" s="2">
        <v>620211</v>
      </c>
      <c r="I53" s="2" t="s">
        <v>30</v>
      </c>
      <c r="J53" s="21">
        <v>137.69999999999999</v>
      </c>
      <c r="K53" s="2">
        <v>620211</v>
      </c>
      <c r="L53" s="2" t="s">
        <v>30</v>
      </c>
      <c r="M53" s="6">
        <v>37.69</v>
      </c>
      <c r="N53" s="2">
        <v>620211</v>
      </c>
      <c r="O53" s="2" t="s">
        <v>30</v>
      </c>
      <c r="P53" s="21">
        <v>194.4</v>
      </c>
      <c r="Q53" s="2">
        <v>623220</v>
      </c>
      <c r="R53" s="2" t="s">
        <v>91</v>
      </c>
      <c r="S53" s="6">
        <v>204</v>
      </c>
      <c r="T53" s="2">
        <v>620211</v>
      </c>
      <c r="U53" s="2" t="s">
        <v>30</v>
      </c>
      <c r="V53" s="21">
        <v>213.6</v>
      </c>
    </row>
    <row r="54" spans="1:24" x14ac:dyDescent="0.15">
      <c r="A54" s="53"/>
      <c r="B54" s="53"/>
      <c r="C54" s="53"/>
      <c r="D54" s="53"/>
      <c r="E54" s="2">
        <v>621200</v>
      </c>
      <c r="F54" s="2" t="s">
        <v>31</v>
      </c>
      <c r="G54" s="6">
        <v>6896.9</v>
      </c>
      <c r="H54" s="2">
        <v>621200</v>
      </c>
      <c r="I54" s="2" t="s">
        <v>31</v>
      </c>
      <c r="J54" s="21">
        <v>7348.76</v>
      </c>
      <c r="K54" s="2">
        <v>621200</v>
      </c>
      <c r="L54" s="2" t="s">
        <v>31</v>
      </c>
      <c r="M54" s="6">
        <v>7146.56</v>
      </c>
      <c r="N54" s="2">
        <v>621200</v>
      </c>
      <c r="O54" s="2" t="s">
        <v>31</v>
      </c>
      <c r="P54" s="21">
        <v>6819.93</v>
      </c>
      <c r="Q54" s="2">
        <v>621200</v>
      </c>
      <c r="R54" s="2" t="s">
        <v>31</v>
      </c>
      <c r="S54" s="6">
        <v>6693.03</v>
      </c>
      <c r="T54" s="2">
        <v>621200</v>
      </c>
      <c r="U54" s="2" t="s">
        <v>31</v>
      </c>
      <c r="V54" s="21">
        <v>6463.89</v>
      </c>
    </row>
    <row r="55" spans="1:24" x14ac:dyDescent="0.15">
      <c r="A55" s="53"/>
      <c r="B55" s="53"/>
      <c r="C55" s="53"/>
      <c r="D55" s="53"/>
      <c r="E55" s="2">
        <v>623000</v>
      </c>
      <c r="F55" s="2" t="s">
        <v>32</v>
      </c>
      <c r="G55" s="6">
        <v>211.52</v>
      </c>
      <c r="H55" s="2">
        <v>623000</v>
      </c>
      <c r="I55" s="2" t="s">
        <v>32</v>
      </c>
      <c r="J55" s="21">
        <v>208.11</v>
      </c>
      <c r="K55" s="2">
        <v>623000</v>
      </c>
      <c r="L55" s="2" t="s">
        <v>32</v>
      </c>
      <c r="M55" s="6">
        <v>147.85</v>
      </c>
      <c r="N55" s="2">
        <v>623000</v>
      </c>
      <c r="O55" s="2" t="s">
        <v>32</v>
      </c>
      <c r="P55" s="21">
        <v>198.35</v>
      </c>
      <c r="Q55" s="2">
        <v>623000</v>
      </c>
      <c r="R55" s="2" t="s">
        <v>32</v>
      </c>
      <c r="S55" s="6">
        <v>185.58</v>
      </c>
      <c r="T55" s="2">
        <v>623000</v>
      </c>
      <c r="U55" s="2" t="s">
        <v>32</v>
      </c>
      <c r="V55" s="21">
        <v>227.98</v>
      </c>
      <c r="X55" s="6"/>
    </row>
    <row r="56" spans="1:24" x14ac:dyDescent="0.15">
      <c r="A56" s="53"/>
      <c r="B56" s="53"/>
      <c r="C56" s="53"/>
      <c r="D56" s="53"/>
      <c r="E56" s="2">
        <v>623001</v>
      </c>
      <c r="F56" s="2" t="s">
        <v>33</v>
      </c>
      <c r="G56" s="6">
        <v>178.43</v>
      </c>
      <c r="H56" s="2">
        <v>623001</v>
      </c>
      <c r="I56" s="2" t="s">
        <v>33</v>
      </c>
      <c r="J56" s="21">
        <v>159.11000000000001</v>
      </c>
      <c r="K56" s="2">
        <v>623001</v>
      </c>
      <c r="L56" s="2" t="s">
        <v>33</v>
      </c>
      <c r="M56" s="6">
        <v>197.32</v>
      </c>
      <c r="N56" s="2">
        <v>623001</v>
      </c>
      <c r="O56" s="2" t="s">
        <v>33</v>
      </c>
      <c r="P56" s="21">
        <v>154.22999999999999</v>
      </c>
      <c r="Q56" s="2">
        <v>623001</v>
      </c>
      <c r="R56" s="2" t="s">
        <v>33</v>
      </c>
      <c r="S56" s="6">
        <v>90</v>
      </c>
      <c r="V56" s="21"/>
    </row>
    <row r="57" spans="1:24" x14ac:dyDescent="0.15">
      <c r="A57" s="53"/>
      <c r="B57" s="53"/>
      <c r="C57" s="53"/>
      <c r="D57" s="53"/>
      <c r="G57" s="6"/>
      <c r="J57" s="21"/>
      <c r="M57" s="6"/>
      <c r="N57" s="2">
        <v>623002</v>
      </c>
      <c r="O57" s="2" t="s">
        <v>81</v>
      </c>
      <c r="P57" s="21">
        <v>74.64</v>
      </c>
      <c r="S57" s="6"/>
      <c r="V57" s="21"/>
    </row>
    <row r="58" spans="1:24" x14ac:dyDescent="0.15">
      <c r="A58" s="53"/>
      <c r="B58" s="53"/>
      <c r="C58" s="53"/>
      <c r="D58" s="53"/>
      <c r="E58" s="2">
        <v>623010</v>
      </c>
      <c r="F58" s="2" t="s">
        <v>34</v>
      </c>
      <c r="G58" s="6">
        <v>1800.24</v>
      </c>
      <c r="H58" s="2">
        <v>623010</v>
      </c>
      <c r="I58" s="2" t="s">
        <v>34</v>
      </c>
      <c r="J58" s="21">
        <v>1800.24</v>
      </c>
      <c r="K58" s="2">
        <v>623010</v>
      </c>
      <c r="L58" s="2" t="s">
        <v>34</v>
      </c>
      <c r="M58" s="6">
        <v>1800.24</v>
      </c>
      <c r="N58" s="2">
        <v>623010</v>
      </c>
      <c r="O58" s="2" t="s">
        <v>34</v>
      </c>
      <c r="P58" s="21">
        <v>1800.24</v>
      </c>
      <c r="V58" s="21"/>
    </row>
    <row r="59" spans="1:24" x14ac:dyDescent="0.15">
      <c r="A59" s="53"/>
      <c r="B59" s="53"/>
      <c r="C59" s="53"/>
      <c r="D59" s="53"/>
      <c r="E59" s="2">
        <v>623100</v>
      </c>
      <c r="F59" s="2" t="s">
        <v>35</v>
      </c>
      <c r="G59" s="6">
        <v>3870.3</v>
      </c>
      <c r="H59" s="2">
        <v>623100</v>
      </c>
      <c r="I59" s="2" t="s">
        <v>35</v>
      </c>
      <c r="J59" s="21">
        <v>3831.44</v>
      </c>
      <c r="K59" s="2">
        <v>623100</v>
      </c>
      <c r="L59" s="2" t="s">
        <v>35</v>
      </c>
      <c r="M59" s="6">
        <v>3740.53</v>
      </c>
      <c r="N59" s="2">
        <v>623100</v>
      </c>
      <c r="O59" s="2" t="s">
        <v>35</v>
      </c>
      <c r="P59" s="21">
        <v>3582.54</v>
      </c>
      <c r="Q59" s="2">
        <v>623100</v>
      </c>
      <c r="R59" s="2" t="s">
        <v>35</v>
      </c>
      <c r="S59" s="6">
        <v>3586.12</v>
      </c>
      <c r="T59" s="2">
        <v>623100</v>
      </c>
      <c r="U59" s="2" t="s">
        <v>35</v>
      </c>
      <c r="V59" s="21">
        <v>3473.84</v>
      </c>
    </row>
    <row r="60" spans="1:24" x14ac:dyDescent="0.15">
      <c r="A60" s="53"/>
      <c r="B60" s="53"/>
      <c r="C60" s="53"/>
      <c r="D60" s="53"/>
      <c r="E60" s="2">
        <v>623101</v>
      </c>
      <c r="F60" s="2" t="s">
        <v>36</v>
      </c>
      <c r="G60" s="6">
        <v>-3831.44</v>
      </c>
      <c r="H60" s="2">
        <v>623101</v>
      </c>
      <c r="I60" s="2" t="s">
        <v>36</v>
      </c>
      <c r="J60" s="21">
        <v>-3740.53</v>
      </c>
      <c r="K60" s="2">
        <v>623101</v>
      </c>
      <c r="L60" s="2" t="s">
        <v>36</v>
      </c>
      <c r="M60" s="6">
        <v>-3582.54</v>
      </c>
      <c r="N60" s="2">
        <v>623101</v>
      </c>
      <c r="O60" s="2" t="s">
        <v>36</v>
      </c>
      <c r="P60" s="21">
        <v>-3586.12</v>
      </c>
      <c r="Q60" s="2">
        <v>623101</v>
      </c>
      <c r="R60" s="2" t="s">
        <v>36</v>
      </c>
      <c r="S60" s="6">
        <v>-3473.84</v>
      </c>
      <c r="T60" s="2">
        <v>623101</v>
      </c>
      <c r="U60" s="2" t="s">
        <v>36</v>
      </c>
      <c r="V60" s="21">
        <v>-3383.92</v>
      </c>
    </row>
    <row r="61" spans="1:24" ht="14" thickBot="1" x14ac:dyDescent="0.2">
      <c r="A61" s="53"/>
      <c r="B61" s="53"/>
      <c r="C61" s="53"/>
      <c r="D61" s="53"/>
      <c r="E61" s="7">
        <v>623111</v>
      </c>
      <c r="F61" s="7" t="s">
        <v>37</v>
      </c>
      <c r="G61" s="8">
        <v>2339.1999999999998</v>
      </c>
      <c r="H61" s="7"/>
      <c r="I61" s="7"/>
      <c r="J61" s="22"/>
      <c r="K61" s="7"/>
      <c r="L61" s="7"/>
      <c r="M61" s="7"/>
      <c r="N61" s="7"/>
      <c r="O61" s="7"/>
      <c r="P61" s="22"/>
      <c r="Q61" s="7"/>
      <c r="R61" s="7"/>
      <c r="S61" s="7"/>
      <c r="T61" s="7"/>
      <c r="U61" s="7"/>
      <c r="V61" s="22"/>
    </row>
    <row r="62" spans="1:24" x14ac:dyDescent="0.15">
      <c r="A62" s="53"/>
      <c r="B62" s="53"/>
      <c r="C62" s="53"/>
      <c r="D62" s="53"/>
      <c r="E62" s="4">
        <v>630200</v>
      </c>
      <c r="F62" s="4" t="s">
        <v>38</v>
      </c>
      <c r="G62" s="5">
        <v>4450.6099999999997</v>
      </c>
      <c r="H62" s="4">
        <v>630200</v>
      </c>
      <c r="I62" s="4" t="s">
        <v>38</v>
      </c>
      <c r="J62" s="20">
        <v>6084.72</v>
      </c>
      <c r="K62" s="4">
        <v>630200</v>
      </c>
      <c r="L62" s="4" t="s">
        <v>38</v>
      </c>
      <c r="M62" s="5">
        <v>6084.55</v>
      </c>
      <c r="N62" s="4">
        <v>630200</v>
      </c>
      <c r="O62" s="4" t="s">
        <v>38</v>
      </c>
      <c r="P62" s="20">
        <v>6084.55</v>
      </c>
      <c r="Q62" s="4">
        <v>630200</v>
      </c>
      <c r="R62" s="4" t="s">
        <v>38</v>
      </c>
      <c r="S62" s="5">
        <v>5064.13</v>
      </c>
      <c r="T62" s="4">
        <v>630200</v>
      </c>
      <c r="U62" s="4" t="s">
        <v>38</v>
      </c>
      <c r="V62" s="20">
        <v>1060.33</v>
      </c>
    </row>
    <row r="63" spans="1:24" x14ac:dyDescent="0.15">
      <c r="A63" s="57"/>
      <c r="B63" s="57"/>
      <c r="C63" s="57"/>
      <c r="D63" s="57"/>
      <c r="G63" s="6"/>
      <c r="J63" s="25"/>
      <c r="K63" s="2">
        <v>634000</v>
      </c>
      <c r="L63" s="2" t="s">
        <v>76</v>
      </c>
      <c r="M63" s="6">
        <v>3071</v>
      </c>
      <c r="N63" s="2">
        <v>633000</v>
      </c>
      <c r="O63" s="2" t="s">
        <v>82</v>
      </c>
      <c r="P63" s="25">
        <v>6369</v>
      </c>
      <c r="S63" s="6"/>
      <c r="V63" s="25"/>
    </row>
    <row r="64" spans="1:24" x14ac:dyDescent="0.15">
      <c r="A64" s="57"/>
      <c r="B64" s="57"/>
      <c r="C64" s="57"/>
      <c r="D64" s="57"/>
      <c r="G64" s="6"/>
      <c r="J64" s="25"/>
      <c r="K64" s="2">
        <v>634100</v>
      </c>
      <c r="L64" s="2" t="s">
        <v>75</v>
      </c>
      <c r="M64" s="6">
        <v>-6336</v>
      </c>
      <c r="P64" s="25"/>
      <c r="S64" s="6"/>
      <c r="V64" s="25"/>
    </row>
    <row r="65" spans="1:22" x14ac:dyDescent="0.15">
      <c r="A65" s="57"/>
      <c r="B65" s="57"/>
      <c r="C65" s="57"/>
      <c r="D65" s="57"/>
      <c r="J65" s="25"/>
      <c r="P65" s="25"/>
      <c r="Q65" s="2">
        <v>637000</v>
      </c>
      <c r="R65" s="2" t="s">
        <v>92</v>
      </c>
      <c r="S65" s="6">
        <v>5000</v>
      </c>
      <c r="V65" s="25"/>
    </row>
    <row r="66" spans="1:22" x14ac:dyDescent="0.15">
      <c r="A66" s="57"/>
      <c r="B66" s="57"/>
      <c r="C66" s="57"/>
      <c r="D66" s="57"/>
      <c r="E66" s="2">
        <v>6560</v>
      </c>
      <c r="F66" s="2" t="s">
        <v>39</v>
      </c>
      <c r="G66" s="6">
        <v>300</v>
      </c>
      <c r="J66" s="21"/>
      <c r="P66" s="21"/>
      <c r="Q66" s="2">
        <v>637001</v>
      </c>
      <c r="R66" s="2" t="s">
        <v>93</v>
      </c>
      <c r="S66" s="6">
        <v>10000</v>
      </c>
      <c r="V66" s="21"/>
    </row>
    <row r="67" spans="1:22" x14ac:dyDescent="0.15">
      <c r="A67" s="57"/>
      <c r="B67" s="57"/>
      <c r="C67" s="57"/>
      <c r="D67" s="57"/>
      <c r="J67" s="25"/>
      <c r="N67" s="2">
        <v>637100</v>
      </c>
      <c r="O67" s="2" t="s">
        <v>83</v>
      </c>
      <c r="P67" s="25">
        <v>-5000</v>
      </c>
      <c r="V67" s="25"/>
    </row>
    <row r="68" spans="1:22" x14ac:dyDescent="0.15">
      <c r="A68" s="57"/>
      <c r="B68" s="57"/>
      <c r="C68" s="57"/>
      <c r="D68" s="57"/>
      <c r="J68" s="25"/>
      <c r="N68" s="2">
        <v>637101</v>
      </c>
      <c r="O68" s="2" t="s">
        <v>84</v>
      </c>
      <c r="P68" s="25">
        <v>-10000</v>
      </c>
      <c r="V68" s="25"/>
    </row>
    <row r="69" spans="1:22" ht="14" thickBot="1" x14ac:dyDescent="0.2">
      <c r="A69" s="57"/>
      <c r="B69" s="57"/>
      <c r="C69" s="57"/>
      <c r="D69" s="57"/>
      <c r="E69" s="7"/>
      <c r="F69" s="7"/>
      <c r="G69" s="8"/>
      <c r="H69" s="7"/>
      <c r="I69" s="7"/>
      <c r="J69" s="24"/>
      <c r="K69" s="7"/>
      <c r="L69" s="7"/>
      <c r="M69" s="7"/>
      <c r="N69" s="7"/>
      <c r="O69" s="7"/>
      <c r="P69" s="24"/>
      <c r="Q69" s="7">
        <v>660200</v>
      </c>
      <c r="R69" s="7" t="s">
        <v>94</v>
      </c>
      <c r="S69" s="8">
        <v>16015.2</v>
      </c>
      <c r="T69" s="7"/>
      <c r="U69" s="7"/>
      <c r="V69" s="24"/>
    </row>
    <row r="70" spans="1:22" x14ac:dyDescent="0.15">
      <c r="A70" s="6">
        <f t="shared" ref="A70" si="12">+$G70+$J70+$M70+$P70+$S70+$V70</f>
        <v>392.51</v>
      </c>
      <c r="B70" s="6">
        <f t="shared" ref="B70" si="13">+A70/6</f>
        <v>65.418333333333337</v>
      </c>
      <c r="C70" s="6">
        <f t="shared" ref="C70" si="14">$P70+$S70+$V70</f>
        <v>244.1</v>
      </c>
      <c r="D70" s="6">
        <f t="shared" ref="D70" si="15">+C70/6</f>
        <v>40.68333333333333</v>
      </c>
      <c r="E70" s="4">
        <v>659000</v>
      </c>
      <c r="F70" s="4" t="s">
        <v>40</v>
      </c>
      <c r="G70" s="5">
        <v>80.5</v>
      </c>
      <c r="H70" s="4">
        <v>659000</v>
      </c>
      <c r="I70" s="4" t="s">
        <v>40</v>
      </c>
      <c r="J70" s="20">
        <v>30.15</v>
      </c>
      <c r="K70" s="4">
        <v>659000</v>
      </c>
      <c r="L70" s="4" t="s">
        <v>40</v>
      </c>
      <c r="M70" s="5">
        <v>37.76</v>
      </c>
      <c r="N70" s="4">
        <v>659000</v>
      </c>
      <c r="O70" s="4" t="s">
        <v>40</v>
      </c>
      <c r="P70" s="20">
        <v>98.25</v>
      </c>
      <c r="Q70" s="4">
        <v>659000</v>
      </c>
      <c r="R70" s="4" t="s">
        <v>40</v>
      </c>
      <c r="S70" s="5">
        <v>32.69</v>
      </c>
      <c r="T70" s="4">
        <v>659000</v>
      </c>
      <c r="U70" s="4" t="s">
        <v>40</v>
      </c>
      <c r="V70" s="20">
        <v>113.16</v>
      </c>
    </row>
    <row r="71" spans="1:22" x14ac:dyDescent="0.15">
      <c r="A71" s="57"/>
      <c r="B71" s="57"/>
      <c r="C71" s="57"/>
      <c r="D71" s="57"/>
      <c r="E71" s="2">
        <v>659010</v>
      </c>
      <c r="F71" s="2" t="s">
        <v>56</v>
      </c>
      <c r="G71" s="6"/>
      <c r="H71" s="2">
        <v>659010</v>
      </c>
      <c r="I71" s="2" t="s">
        <v>56</v>
      </c>
      <c r="J71" s="21">
        <v>0.67</v>
      </c>
      <c r="K71" s="2">
        <v>659010</v>
      </c>
      <c r="L71" s="2" t="s">
        <v>56</v>
      </c>
      <c r="M71" s="6">
        <v>0.71</v>
      </c>
      <c r="N71" s="2">
        <v>659010</v>
      </c>
      <c r="O71" s="2" t="s">
        <v>56</v>
      </c>
      <c r="P71" s="21">
        <v>4.58</v>
      </c>
      <c r="Q71" s="2">
        <v>659010</v>
      </c>
      <c r="R71" s="2" t="s">
        <v>56</v>
      </c>
      <c r="S71" s="6"/>
      <c r="T71" s="2">
        <v>659010</v>
      </c>
      <c r="U71" s="2" t="s">
        <v>56</v>
      </c>
      <c r="V71" s="21"/>
    </row>
    <row r="72" spans="1:22" x14ac:dyDescent="0.15">
      <c r="A72" s="57"/>
      <c r="B72" s="57"/>
      <c r="C72" s="57"/>
      <c r="D72" s="57"/>
      <c r="G72" s="6"/>
      <c r="J72" s="21"/>
      <c r="M72" s="6"/>
      <c r="P72" s="21"/>
      <c r="S72" s="6"/>
      <c r="V72" s="21"/>
    </row>
    <row r="73" spans="1:22" x14ac:dyDescent="0.15">
      <c r="A73" s="57"/>
      <c r="B73" s="57"/>
      <c r="C73" s="57"/>
      <c r="D73" s="57"/>
      <c r="E73" s="2">
        <v>670100</v>
      </c>
      <c r="F73" s="2" t="s">
        <v>86</v>
      </c>
      <c r="G73" s="6"/>
      <c r="H73" s="2">
        <v>670100</v>
      </c>
      <c r="I73" s="2" t="s">
        <v>86</v>
      </c>
      <c r="J73" s="21"/>
      <c r="K73" s="2">
        <v>670100</v>
      </c>
      <c r="L73" s="2" t="s">
        <v>86</v>
      </c>
      <c r="M73" s="6"/>
      <c r="N73" s="2">
        <v>670100</v>
      </c>
      <c r="O73" s="2" t="s">
        <v>86</v>
      </c>
      <c r="P73" s="21">
        <v>0.91</v>
      </c>
      <c r="Q73" s="2">
        <v>670100</v>
      </c>
      <c r="R73" s="2" t="s">
        <v>86</v>
      </c>
      <c r="S73" s="6">
        <v>62.16</v>
      </c>
      <c r="T73" s="2">
        <v>670100</v>
      </c>
      <c r="U73" s="2" t="s">
        <v>86</v>
      </c>
      <c r="V73" s="21">
        <v>39.9</v>
      </c>
    </row>
    <row r="74" spans="1:22" x14ac:dyDescent="0.15">
      <c r="A74" s="57"/>
      <c r="B74" s="57"/>
      <c r="C74" s="57"/>
      <c r="D74" s="57"/>
      <c r="E74" s="2">
        <v>668000</v>
      </c>
      <c r="F74" s="2" t="s">
        <v>85</v>
      </c>
      <c r="G74" s="6"/>
      <c r="H74" s="2">
        <v>668000</v>
      </c>
      <c r="I74" s="2" t="s">
        <v>85</v>
      </c>
      <c r="J74" s="21"/>
      <c r="K74" s="2">
        <v>668000</v>
      </c>
      <c r="L74" s="2" t="s">
        <v>85</v>
      </c>
      <c r="M74" s="6"/>
      <c r="N74" s="2">
        <v>668000</v>
      </c>
      <c r="O74" s="2" t="s">
        <v>85</v>
      </c>
      <c r="P74" s="21">
        <v>618.21</v>
      </c>
      <c r="Q74" s="2">
        <v>668000</v>
      </c>
      <c r="R74" s="2" t="s">
        <v>85</v>
      </c>
      <c r="S74" s="6"/>
      <c r="T74" s="2">
        <v>668000</v>
      </c>
      <c r="U74" s="2" t="s">
        <v>85</v>
      </c>
      <c r="V74" s="21"/>
    </row>
    <row r="75" spans="1:22" ht="14" thickBot="1" x14ac:dyDescent="0.2">
      <c r="A75" s="57"/>
      <c r="B75" s="57"/>
      <c r="C75" s="57"/>
      <c r="D75" s="57"/>
      <c r="E75" s="7">
        <v>691000</v>
      </c>
      <c r="F75" s="7" t="s">
        <v>57</v>
      </c>
      <c r="G75" s="8"/>
      <c r="H75" s="7">
        <v>691000</v>
      </c>
      <c r="I75" s="7" t="s">
        <v>57</v>
      </c>
      <c r="J75" s="24">
        <v>47948.56</v>
      </c>
      <c r="K75" s="7">
        <v>691000</v>
      </c>
      <c r="L75" s="7" t="s">
        <v>57</v>
      </c>
      <c r="M75" s="8">
        <v>18924.57</v>
      </c>
      <c r="N75" s="7">
        <v>691000</v>
      </c>
      <c r="O75" s="7" t="s">
        <v>57</v>
      </c>
      <c r="P75" s="24">
        <v>39635.589999999997</v>
      </c>
      <c r="Q75" s="7">
        <v>691000</v>
      </c>
      <c r="R75" s="7" t="s">
        <v>57</v>
      </c>
      <c r="S75" s="8"/>
      <c r="T75" s="7">
        <v>691000</v>
      </c>
      <c r="U75" s="7" t="s">
        <v>57</v>
      </c>
      <c r="V75" s="24">
        <v>32357.26</v>
      </c>
    </row>
    <row r="76" spans="1:22" x14ac:dyDescent="0.15">
      <c r="G76" s="6"/>
      <c r="J76" s="21"/>
      <c r="M76" s="6"/>
      <c r="P76" s="21"/>
      <c r="S76" s="6"/>
      <c r="V76" s="21"/>
    </row>
    <row r="77" spans="1:22" x14ac:dyDescent="0.15">
      <c r="G77" s="6"/>
      <c r="J77" s="21"/>
      <c r="M77" s="6"/>
      <c r="P77" s="21"/>
      <c r="S77" s="6"/>
      <c r="V77" s="21"/>
    </row>
    <row r="78" spans="1:22" x14ac:dyDescent="0.15">
      <c r="E78" s="2">
        <v>700000</v>
      </c>
      <c r="F78" s="2" t="s">
        <v>41</v>
      </c>
      <c r="G78" s="6">
        <v>-126768</v>
      </c>
      <c r="H78" s="2">
        <v>700000</v>
      </c>
      <c r="I78" s="2" t="s">
        <v>41</v>
      </c>
      <c r="J78" s="21">
        <v>-166460</v>
      </c>
      <c r="K78" s="2">
        <v>700000</v>
      </c>
      <c r="L78" s="2" t="s">
        <v>41</v>
      </c>
      <c r="M78" s="6">
        <v>-168549</v>
      </c>
      <c r="N78" s="2">
        <v>700000</v>
      </c>
      <c r="O78" s="2" t="s">
        <v>41</v>
      </c>
      <c r="P78" s="21">
        <v>-173360</v>
      </c>
      <c r="Q78" s="2">
        <v>700000</v>
      </c>
      <c r="R78" s="2" t="s">
        <v>41</v>
      </c>
      <c r="S78" s="6">
        <v>-165356</v>
      </c>
      <c r="T78" s="2">
        <v>700000</v>
      </c>
      <c r="U78" s="2" t="s">
        <v>41</v>
      </c>
      <c r="V78" s="21">
        <v>-165577</v>
      </c>
    </row>
    <row r="79" spans="1:22" x14ac:dyDescent="0.15">
      <c r="G79" s="6"/>
      <c r="J79" s="21"/>
      <c r="K79" s="2">
        <v>7001</v>
      </c>
      <c r="L79" s="2" t="s">
        <v>77</v>
      </c>
      <c r="M79" s="6">
        <v>0</v>
      </c>
      <c r="P79" s="21"/>
      <c r="Q79" s="2">
        <v>7001</v>
      </c>
      <c r="R79" s="2" t="s">
        <v>77</v>
      </c>
      <c r="S79" s="6">
        <v>-45</v>
      </c>
      <c r="V79" s="21"/>
    </row>
    <row r="80" spans="1:22" x14ac:dyDescent="0.15">
      <c r="E80" s="2">
        <v>700100</v>
      </c>
      <c r="F80" s="2" t="s">
        <v>42</v>
      </c>
      <c r="G80" s="6">
        <v>-210</v>
      </c>
      <c r="H80" s="2">
        <v>700100</v>
      </c>
      <c r="I80" s="2" t="s">
        <v>42</v>
      </c>
      <c r="J80" s="21">
        <v>-953</v>
      </c>
      <c r="K80" s="2">
        <v>700100</v>
      </c>
      <c r="L80" s="2" t="s">
        <v>42</v>
      </c>
      <c r="M80" s="6">
        <v>-1160</v>
      </c>
      <c r="N80" s="2">
        <v>700100</v>
      </c>
      <c r="O80" s="2" t="s">
        <v>42</v>
      </c>
      <c r="P80" s="21">
        <v>-1825</v>
      </c>
      <c r="Q80" s="2">
        <v>700100</v>
      </c>
      <c r="R80" s="2" t="s">
        <v>42</v>
      </c>
      <c r="S80" s="6">
        <v>-2936</v>
      </c>
      <c r="T80" s="2">
        <v>700100</v>
      </c>
      <c r="U80" s="2" t="s">
        <v>42</v>
      </c>
      <c r="V80" s="21">
        <v>-1630</v>
      </c>
    </row>
    <row r="81" spans="1:22" x14ac:dyDescent="0.15">
      <c r="E81" s="2">
        <v>700101</v>
      </c>
      <c r="F81" s="2" t="s">
        <v>43</v>
      </c>
      <c r="G81" s="6">
        <v>-85</v>
      </c>
      <c r="H81" s="2">
        <v>700101</v>
      </c>
      <c r="I81" s="2" t="s">
        <v>43</v>
      </c>
      <c r="J81" s="21">
        <v>-1156</v>
      </c>
      <c r="K81" s="2">
        <v>700101</v>
      </c>
      <c r="L81" s="2" t="s">
        <v>43</v>
      </c>
      <c r="M81" s="6">
        <v>-2011</v>
      </c>
      <c r="N81" s="2">
        <v>700101</v>
      </c>
      <c r="O81" s="2" t="s">
        <v>43</v>
      </c>
      <c r="P81" s="21">
        <v>-1474.5</v>
      </c>
      <c r="Q81" s="2">
        <v>700101</v>
      </c>
      <c r="R81" s="2" t="s">
        <v>43</v>
      </c>
      <c r="S81" s="6">
        <v>-3120.5</v>
      </c>
      <c r="T81" s="2">
        <v>700101</v>
      </c>
      <c r="U81" s="2" t="s">
        <v>43</v>
      </c>
      <c r="V81" s="21">
        <v>-4642.5</v>
      </c>
    </row>
    <row r="82" spans="1:22" x14ac:dyDescent="0.15">
      <c r="G82" s="6"/>
      <c r="H82" s="2">
        <v>700102</v>
      </c>
      <c r="I82" s="2" t="s">
        <v>58</v>
      </c>
      <c r="J82" s="21">
        <v>-160</v>
      </c>
      <c r="K82" s="2">
        <v>700102</v>
      </c>
      <c r="L82" s="2" t="s">
        <v>58</v>
      </c>
      <c r="M82" s="6">
        <v>-12</v>
      </c>
      <c r="N82" s="2">
        <v>700102</v>
      </c>
      <c r="O82" s="2" t="s">
        <v>58</v>
      </c>
      <c r="P82" s="21">
        <v>-787.77</v>
      </c>
      <c r="S82" s="6">
        <v>-165</v>
      </c>
      <c r="T82" s="2">
        <v>700102</v>
      </c>
      <c r="U82" s="2" t="s">
        <v>58</v>
      </c>
      <c r="V82" s="21">
        <v>-1393</v>
      </c>
    </row>
    <row r="83" spans="1:22" x14ac:dyDescent="0.15">
      <c r="G83" s="6"/>
      <c r="H83" s="2">
        <v>700103</v>
      </c>
      <c r="I83" s="2" t="s">
        <v>59</v>
      </c>
      <c r="J83" s="21">
        <v>-130</v>
      </c>
      <c r="K83" s="2">
        <v>700103</v>
      </c>
      <c r="L83" s="2" t="s">
        <v>59</v>
      </c>
      <c r="M83" s="6">
        <v>-52</v>
      </c>
      <c r="N83" s="2">
        <v>700103</v>
      </c>
      <c r="O83" s="2" t="s">
        <v>59</v>
      </c>
      <c r="P83" s="21">
        <v>-52</v>
      </c>
      <c r="S83" s="6"/>
      <c r="T83" s="2">
        <v>700103</v>
      </c>
      <c r="U83" s="2" t="s">
        <v>59</v>
      </c>
      <c r="V83" s="21">
        <v>-312</v>
      </c>
    </row>
    <row r="84" spans="1:22" x14ac:dyDescent="0.15">
      <c r="E84" s="2">
        <v>700104</v>
      </c>
      <c r="F84" s="2" t="s">
        <v>44</v>
      </c>
      <c r="G84" s="6">
        <v>-132</v>
      </c>
      <c r="H84" s="2">
        <v>700104</v>
      </c>
      <c r="I84" s="2" t="s">
        <v>44</v>
      </c>
      <c r="J84" s="21">
        <v>-165</v>
      </c>
      <c r="K84" s="2">
        <v>700104</v>
      </c>
      <c r="L84" s="2" t="s">
        <v>44</v>
      </c>
      <c r="M84" s="6">
        <v>-597</v>
      </c>
      <c r="N84" s="2">
        <v>700104</v>
      </c>
      <c r="O84" s="2" t="s">
        <v>44</v>
      </c>
      <c r="P84" s="21">
        <v>-589</v>
      </c>
      <c r="Q84" s="2">
        <v>700104</v>
      </c>
      <c r="R84" s="2" t="s">
        <v>44</v>
      </c>
      <c r="S84" s="6"/>
      <c r="T84" s="2">
        <v>700104</v>
      </c>
      <c r="U84" s="2" t="s">
        <v>44</v>
      </c>
      <c r="V84" s="21">
        <v>-653.39</v>
      </c>
    </row>
    <row r="85" spans="1:22" x14ac:dyDescent="0.15">
      <c r="G85" s="6"/>
      <c r="J85" s="21"/>
      <c r="K85" s="2">
        <v>700105</v>
      </c>
      <c r="L85" s="2" t="s">
        <v>78</v>
      </c>
      <c r="M85" s="6">
        <v>-11</v>
      </c>
      <c r="N85" s="2">
        <v>700105</v>
      </c>
      <c r="O85" s="2" t="s">
        <v>78</v>
      </c>
      <c r="P85" s="21">
        <v>-448</v>
      </c>
      <c r="Q85" s="2">
        <v>700105</v>
      </c>
      <c r="R85" s="2" t="s">
        <v>78</v>
      </c>
      <c r="S85" s="6">
        <v>-400</v>
      </c>
      <c r="T85" s="2">
        <v>700105</v>
      </c>
      <c r="U85" s="2" t="s">
        <v>78</v>
      </c>
      <c r="V85" s="21">
        <v>-120</v>
      </c>
    </row>
    <row r="86" spans="1:22" x14ac:dyDescent="0.15">
      <c r="E86" s="2">
        <v>700106</v>
      </c>
      <c r="F86" s="2" t="s">
        <v>45</v>
      </c>
      <c r="G86" s="6">
        <v>-34</v>
      </c>
      <c r="H86" s="2">
        <v>700106</v>
      </c>
      <c r="I86" s="2" t="s">
        <v>45</v>
      </c>
      <c r="J86" s="21">
        <v>-221</v>
      </c>
      <c r="M86" s="6"/>
      <c r="N86" s="2">
        <v>700106</v>
      </c>
      <c r="O86" s="2" t="s">
        <v>45</v>
      </c>
      <c r="P86" s="21">
        <v>-34</v>
      </c>
      <c r="Q86" s="2">
        <v>700106</v>
      </c>
      <c r="R86" s="2" t="s">
        <v>45</v>
      </c>
      <c r="S86" s="6">
        <v>-148</v>
      </c>
      <c r="V86" s="21"/>
    </row>
    <row r="87" spans="1:22" x14ac:dyDescent="0.15">
      <c r="G87" s="6"/>
      <c r="H87" s="2">
        <v>700107</v>
      </c>
      <c r="I87" s="2" t="s">
        <v>60</v>
      </c>
      <c r="J87" s="21">
        <v>-105</v>
      </c>
      <c r="K87" s="2">
        <v>700107</v>
      </c>
      <c r="L87" s="2" t="s">
        <v>60</v>
      </c>
      <c r="M87" s="6">
        <v>-434</v>
      </c>
      <c r="N87" s="2">
        <v>700107</v>
      </c>
      <c r="O87" s="2" t="s">
        <v>60</v>
      </c>
      <c r="P87" s="21">
        <v>-259</v>
      </c>
      <c r="Q87" s="2">
        <v>700107</v>
      </c>
      <c r="R87" s="2" t="s">
        <v>60</v>
      </c>
      <c r="S87" s="6">
        <v>-98</v>
      </c>
      <c r="V87" s="21"/>
    </row>
    <row r="88" spans="1:22" x14ac:dyDescent="0.15">
      <c r="G88" s="6"/>
      <c r="J88" s="21"/>
      <c r="K88" s="2">
        <v>700108</v>
      </c>
      <c r="L88" s="2" t="s">
        <v>79</v>
      </c>
      <c r="M88" s="6">
        <v>-40</v>
      </c>
      <c r="P88" s="21"/>
      <c r="Q88" s="2">
        <v>700108</v>
      </c>
      <c r="R88" s="2" t="s">
        <v>79</v>
      </c>
      <c r="S88" s="6">
        <v>-80</v>
      </c>
      <c r="V88" s="21"/>
    </row>
    <row r="89" spans="1:22" x14ac:dyDescent="0.15">
      <c r="G89" s="6"/>
      <c r="H89" s="2">
        <v>700109</v>
      </c>
      <c r="I89" s="2" t="s">
        <v>61</v>
      </c>
      <c r="J89" s="21">
        <v>-4.5</v>
      </c>
      <c r="K89" s="2">
        <v>700109</v>
      </c>
      <c r="L89" s="2" t="s">
        <v>61</v>
      </c>
      <c r="M89" s="6">
        <v>-67.5</v>
      </c>
      <c r="P89" s="21"/>
      <c r="Q89" s="2">
        <v>700109</v>
      </c>
      <c r="R89" s="2" t="s">
        <v>61</v>
      </c>
      <c r="S89" s="6">
        <v>-45</v>
      </c>
      <c r="V89" s="21"/>
    </row>
    <row r="90" spans="1:22" x14ac:dyDescent="0.15">
      <c r="E90" s="2">
        <v>700110</v>
      </c>
      <c r="F90" s="2" t="s">
        <v>46</v>
      </c>
      <c r="G90" s="6">
        <v>-40</v>
      </c>
      <c r="J90" s="21"/>
      <c r="K90" s="2">
        <v>700110</v>
      </c>
      <c r="L90" s="2" t="s">
        <v>46</v>
      </c>
      <c r="M90" s="6">
        <v>-100</v>
      </c>
      <c r="P90" s="21"/>
      <c r="S90" s="6"/>
      <c r="V90" s="21"/>
    </row>
    <row r="91" spans="1:22" x14ac:dyDescent="0.15">
      <c r="G91" s="6"/>
      <c r="J91" s="21"/>
      <c r="K91" s="2">
        <v>700111</v>
      </c>
      <c r="L91" s="2" t="s">
        <v>80</v>
      </c>
      <c r="M91" s="6">
        <v>-720</v>
      </c>
      <c r="P91" s="21"/>
      <c r="S91" s="6"/>
      <c r="V91" s="21"/>
    </row>
    <row r="92" spans="1:22" x14ac:dyDescent="0.15">
      <c r="G92" s="6"/>
      <c r="H92" s="2">
        <v>700112</v>
      </c>
      <c r="I92" s="2" t="s">
        <v>62</v>
      </c>
      <c r="J92" s="21">
        <v>-9.5</v>
      </c>
      <c r="K92" s="2">
        <v>700112</v>
      </c>
      <c r="L92" s="2" t="s">
        <v>62</v>
      </c>
      <c r="M92" s="6">
        <v>-15</v>
      </c>
      <c r="P92" s="21"/>
      <c r="S92" s="6"/>
      <c r="V92" s="21"/>
    </row>
    <row r="93" spans="1:22" x14ac:dyDescent="0.15">
      <c r="G93" s="6"/>
      <c r="H93" s="2">
        <v>700113</v>
      </c>
      <c r="I93" s="2" t="s">
        <v>63</v>
      </c>
      <c r="J93" s="21">
        <v>-48</v>
      </c>
      <c r="K93" s="2">
        <v>700113</v>
      </c>
      <c r="L93" s="2" t="s">
        <v>63</v>
      </c>
      <c r="M93" s="6">
        <v>-84</v>
      </c>
      <c r="P93" s="21"/>
      <c r="S93" s="6"/>
      <c r="V93" s="21"/>
    </row>
    <row r="94" spans="1:22" x14ac:dyDescent="0.15">
      <c r="G94" s="6"/>
      <c r="J94" s="21"/>
      <c r="M94" s="6"/>
      <c r="N94" s="2">
        <v>700190</v>
      </c>
      <c r="O94" s="2" t="s">
        <v>87</v>
      </c>
      <c r="P94" s="21">
        <v>-9059</v>
      </c>
      <c r="S94" s="6"/>
      <c r="V94" s="21"/>
    </row>
    <row r="95" spans="1:22" x14ac:dyDescent="0.15">
      <c r="A95" s="6">
        <f t="shared" ref="A95" si="16">+$G95+$J95+$M95+$P95+$S95+$V95</f>
        <v>-89521.23</v>
      </c>
      <c r="B95" s="6">
        <f t="shared" ref="B95" si="17">+A95/6</f>
        <v>-14920.205</v>
      </c>
      <c r="C95" s="6">
        <f t="shared" ref="C95" si="18">$P95+$S95+$V95</f>
        <v>-42688</v>
      </c>
      <c r="D95" s="6">
        <f t="shared" ref="D95" si="19">+C95/6</f>
        <v>-7114.666666666667</v>
      </c>
      <c r="E95" s="2">
        <v>749000</v>
      </c>
      <c r="F95" s="2" t="s">
        <v>64</v>
      </c>
      <c r="G95" s="6"/>
      <c r="H95" s="2">
        <v>749000</v>
      </c>
      <c r="I95" s="2" t="s">
        <v>64</v>
      </c>
      <c r="J95" s="21">
        <v>-22581.07</v>
      </c>
      <c r="K95" s="2">
        <v>749000</v>
      </c>
      <c r="L95" s="2" t="s">
        <v>64</v>
      </c>
      <c r="M95" s="6">
        <v>-24252.16</v>
      </c>
      <c r="N95" s="2">
        <v>749000</v>
      </c>
      <c r="O95" s="2" t="s">
        <v>64</v>
      </c>
      <c r="P95" s="21">
        <v>-16696</v>
      </c>
      <c r="Q95" s="2">
        <v>749000</v>
      </c>
      <c r="R95" s="2" t="s">
        <v>64</v>
      </c>
      <c r="S95" s="6">
        <v>-12996</v>
      </c>
      <c r="T95" s="2">
        <v>749000</v>
      </c>
      <c r="U95" s="2" t="s">
        <v>64</v>
      </c>
      <c r="V95" s="21">
        <v>-12996</v>
      </c>
    </row>
    <row r="96" spans="1:22" x14ac:dyDescent="0.15">
      <c r="J96" s="25"/>
      <c r="M96" s="6"/>
      <c r="N96" s="2">
        <v>749001</v>
      </c>
      <c r="O96" s="2" t="s">
        <v>88</v>
      </c>
      <c r="P96" s="25">
        <v>-7633.8</v>
      </c>
      <c r="S96" s="6"/>
      <c r="V96" s="25"/>
    </row>
    <row r="97" spans="5:22" x14ac:dyDescent="0.15">
      <c r="E97" s="2">
        <v>749200</v>
      </c>
      <c r="F97" s="2" t="s">
        <v>47</v>
      </c>
      <c r="G97" s="6">
        <v>-57.21</v>
      </c>
      <c r="H97" s="2">
        <v>749200</v>
      </c>
      <c r="I97" s="2" t="s">
        <v>47</v>
      </c>
      <c r="J97" s="21">
        <v>-60.29</v>
      </c>
      <c r="K97" s="2">
        <v>749200</v>
      </c>
      <c r="L97" s="2" t="s">
        <v>47</v>
      </c>
      <c r="M97" s="6">
        <v>-54.38</v>
      </c>
      <c r="N97" s="2">
        <v>749200</v>
      </c>
      <c r="O97" s="2" t="s">
        <v>47</v>
      </c>
      <c r="P97" s="21">
        <v>-55.98</v>
      </c>
      <c r="Q97" s="2">
        <v>749200</v>
      </c>
      <c r="R97" s="2" t="s">
        <v>47</v>
      </c>
      <c r="S97" s="6">
        <v>-54.86</v>
      </c>
      <c r="T97" s="2">
        <v>749200</v>
      </c>
      <c r="U97" s="2" t="s">
        <v>47</v>
      </c>
      <c r="V97" s="21">
        <v>-394.35</v>
      </c>
    </row>
    <row r="98" spans="5:22" x14ac:dyDescent="0.15">
      <c r="G98" s="6"/>
      <c r="J98" s="25"/>
      <c r="M98" s="6"/>
      <c r="N98" s="2">
        <v>751000</v>
      </c>
      <c r="O98" s="2" t="s">
        <v>89</v>
      </c>
      <c r="P98" s="25">
        <v>-3.02</v>
      </c>
      <c r="Q98" s="2">
        <v>751000</v>
      </c>
      <c r="R98" s="2" t="s">
        <v>89</v>
      </c>
      <c r="S98" s="6">
        <v>-207.22</v>
      </c>
      <c r="T98" s="2">
        <v>751000</v>
      </c>
      <c r="U98" s="2" t="s">
        <v>89</v>
      </c>
      <c r="V98" s="25">
        <v>-228.43</v>
      </c>
    </row>
    <row r="99" spans="5:22" x14ac:dyDescent="0.15">
      <c r="G99" s="6"/>
      <c r="H99" s="2">
        <v>759010</v>
      </c>
      <c r="I99" s="2" t="s">
        <v>65</v>
      </c>
      <c r="J99" s="21">
        <v>-0.01</v>
      </c>
      <c r="K99" s="2">
        <v>759010</v>
      </c>
      <c r="L99" s="2" t="s">
        <v>65</v>
      </c>
      <c r="M99" s="6">
        <v>-0.65</v>
      </c>
      <c r="N99" s="2">
        <v>759010</v>
      </c>
      <c r="O99" s="2" t="s">
        <v>65</v>
      </c>
      <c r="P99" s="21">
        <v>-37.29</v>
      </c>
      <c r="Q99" s="2">
        <v>759010</v>
      </c>
      <c r="R99" s="2" t="s">
        <v>65</v>
      </c>
      <c r="S99" s="6">
        <v>-9.4600000000000009</v>
      </c>
      <c r="T99" s="2">
        <v>759010</v>
      </c>
      <c r="U99" s="2" t="s">
        <v>65</v>
      </c>
      <c r="V99" s="21">
        <v>-0.1</v>
      </c>
    </row>
    <row r="100" spans="5:22" x14ac:dyDescent="0.15">
      <c r="G100" s="6"/>
      <c r="J100" s="6"/>
      <c r="M100" s="6"/>
      <c r="P100" s="6"/>
      <c r="Q100" s="2">
        <v>769000</v>
      </c>
      <c r="R100" s="2" t="s">
        <v>95</v>
      </c>
      <c r="S100" s="6">
        <v>-15949.56</v>
      </c>
      <c r="V100" s="6"/>
    </row>
    <row r="101" spans="5:22" ht="14" thickBot="1" x14ac:dyDescent="0.2">
      <c r="M101" s="6"/>
      <c r="S101" s="6"/>
    </row>
    <row r="102" spans="5:22" x14ac:dyDescent="0.15">
      <c r="E102" s="14"/>
      <c r="F102" s="14"/>
      <c r="G102" s="15"/>
      <c r="H102" s="14"/>
      <c r="I102" s="14"/>
      <c r="J102" s="15"/>
      <c r="K102" s="14"/>
      <c r="L102" s="14"/>
      <c r="M102" s="15"/>
      <c r="N102" s="14"/>
      <c r="O102" s="14"/>
      <c r="P102" s="15"/>
      <c r="Q102" s="14">
        <v>792000</v>
      </c>
      <c r="R102" s="14" t="s">
        <v>96</v>
      </c>
      <c r="S102" s="15">
        <v>-4219.97</v>
      </c>
      <c r="T102" s="14"/>
      <c r="U102" s="14"/>
      <c r="V102" s="15"/>
    </row>
    <row r="103" spans="5:22" x14ac:dyDescent="0.15">
      <c r="E103" s="16"/>
      <c r="F103" s="16" t="s">
        <v>97</v>
      </c>
      <c r="G103" s="17">
        <f>SUM(G78:G102)</f>
        <v>-127326.21</v>
      </c>
      <c r="H103" s="16"/>
      <c r="I103" s="16" t="s">
        <v>97</v>
      </c>
      <c r="J103" s="17">
        <f>SUM(J78:J102)</f>
        <v>-192053.37000000002</v>
      </c>
      <c r="K103" s="16"/>
      <c r="L103" s="16" t="s">
        <v>97</v>
      </c>
      <c r="M103" s="17">
        <f>SUM(M78:M102)</f>
        <v>-198159.69</v>
      </c>
      <c r="N103" s="16"/>
      <c r="O103" s="16" t="s">
        <v>97</v>
      </c>
      <c r="P103" s="17">
        <f>SUM(P78:P102)</f>
        <v>-212314.36</v>
      </c>
      <c r="Q103" s="16"/>
      <c r="R103" s="16" t="s">
        <v>97</v>
      </c>
      <c r="S103" s="17">
        <f>SUM(S78:S102)</f>
        <v>-205830.56999999998</v>
      </c>
      <c r="T103" s="16"/>
      <c r="U103" s="16" t="s">
        <v>97</v>
      </c>
      <c r="V103" s="17">
        <f>SUM(V78:V102)</f>
        <v>-187946.77000000002</v>
      </c>
    </row>
    <row r="104" spans="5:22" x14ac:dyDescent="0.15">
      <c r="E104" s="16"/>
      <c r="F104" s="16" t="s">
        <v>98</v>
      </c>
      <c r="G104" s="17">
        <v>-127326.21</v>
      </c>
      <c r="H104" s="16"/>
      <c r="I104" s="16" t="s">
        <v>98</v>
      </c>
      <c r="J104" s="17">
        <v>-192053.37</v>
      </c>
      <c r="K104" s="16"/>
      <c r="L104" s="16" t="s">
        <v>98</v>
      </c>
      <c r="M104" s="17">
        <v>-198159.69</v>
      </c>
      <c r="N104" s="16"/>
      <c r="O104" s="16" t="s">
        <v>101</v>
      </c>
      <c r="P104" s="17">
        <v>-214249.86</v>
      </c>
      <c r="Q104" s="16"/>
      <c r="R104" s="16" t="s">
        <v>101</v>
      </c>
      <c r="S104" s="17">
        <v>-205830.57</v>
      </c>
      <c r="T104" s="16"/>
      <c r="U104" s="16" t="s">
        <v>101</v>
      </c>
      <c r="V104" s="17">
        <v>-187946.77</v>
      </c>
    </row>
    <row r="105" spans="5:22" x14ac:dyDescent="0.15">
      <c r="E105" s="16"/>
      <c r="F105" s="16" t="s">
        <v>99</v>
      </c>
      <c r="G105" s="17">
        <f>+G103-G104</f>
        <v>0</v>
      </c>
      <c r="H105" s="16"/>
      <c r="I105" s="16" t="s">
        <v>99</v>
      </c>
      <c r="J105" s="17">
        <f>+J103-J104</f>
        <v>0</v>
      </c>
      <c r="K105" s="16"/>
      <c r="L105" s="16" t="s">
        <v>99</v>
      </c>
      <c r="M105" s="17">
        <f>+M103-M104</f>
        <v>0</v>
      </c>
      <c r="N105" s="16"/>
      <c r="O105" s="16" t="s">
        <v>99</v>
      </c>
      <c r="P105" s="17">
        <f>+P103-P104</f>
        <v>1935.5</v>
      </c>
      <c r="Q105" s="16"/>
      <c r="R105" s="16" t="s">
        <v>99</v>
      </c>
      <c r="S105" s="17">
        <f>+S103-S104</f>
        <v>0</v>
      </c>
      <c r="T105" s="16"/>
      <c r="U105" s="16" t="s">
        <v>99</v>
      </c>
      <c r="V105" s="17">
        <f>+V103-V104</f>
        <v>0</v>
      </c>
    </row>
    <row r="106" spans="5:22" x14ac:dyDescent="0.15">
      <c r="E106" s="16"/>
      <c r="F106" s="16"/>
      <c r="G106" s="17"/>
      <c r="H106" s="16"/>
      <c r="I106" s="16"/>
      <c r="J106" s="17"/>
      <c r="K106" s="16"/>
      <c r="L106" s="16"/>
      <c r="M106" s="17"/>
      <c r="N106" s="16"/>
      <c r="O106" s="16"/>
      <c r="P106" s="17"/>
      <c r="Q106" s="16"/>
      <c r="R106" s="16"/>
      <c r="S106" s="17"/>
      <c r="T106" s="16"/>
      <c r="U106" s="16"/>
      <c r="V106" s="17"/>
    </row>
    <row r="107" spans="5:22" x14ac:dyDescent="0.15">
      <c r="E107" s="16"/>
      <c r="F107" s="16" t="s">
        <v>100</v>
      </c>
      <c r="G107" s="17">
        <v>162838.39000000001</v>
      </c>
      <c r="H107" s="16"/>
      <c r="I107" s="16" t="s">
        <v>100</v>
      </c>
      <c r="J107" s="17">
        <f>-J104</f>
        <v>192053.37</v>
      </c>
      <c r="K107" s="16"/>
      <c r="L107" s="16" t="s">
        <v>100</v>
      </c>
      <c r="M107" s="17">
        <f>-M104</f>
        <v>198159.69</v>
      </c>
      <c r="N107" s="16"/>
      <c r="O107" s="16" t="s">
        <v>100</v>
      </c>
      <c r="P107" s="17">
        <f>-P104</f>
        <v>214249.86</v>
      </c>
      <c r="Q107" s="16"/>
      <c r="R107" s="16" t="s">
        <v>100</v>
      </c>
      <c r="S107" s="17">
        <f>-S104</f>
        <v>205830.57</v>
      </c>
      <c r="T107" s="16"/>
      <c r="U107" s="16" t="s">
        <v>100</v>
      </c>
      <c r="V107" s="17">
        <f>-V104</f>
        <v>187946.77</v>
      </c>
    </row>
    <row r="108" spans="5:22" x14ac:dyDescent="0.15">
      <c r="E108" s="16"/>
      <c r="F108" s="16" t="s">
        <v>102</v>
      </c>
      <c r="G108" s="17">
        <f>SUM(G5:G76)</f>
        <v>162838.38999999993</v>
      </c>
      <c r="H108" s="16"/>
      <c r="I108" s="16" t="s">
        <v>102</v>
      </c>
      <c r="J108" s="17">
        <f>SUM(J5:J76)</f>
        <v>192053.37</v>
      </c>
      <c r="K108" s="16"/>
      <c r="L108" s="16" t="s">
        <v>102</v>
      </c>
      <c r="M108" s="17">
        <f>SUM(M5:M76)</f>
        <v>198159.68999999997</v>
      </c>
      <c r="N108" s="16"/>
      <c r="O108" s="16" t="s">
        <v>102</v>
      </c>
      <c r="P108" s="17">
        <f>SUM(P5:P76)</f>
        <v>214249.86000000004</v>
      </c>
      <c r="Q108" s="16"/>
      <c r="R108" s="16" t="s">
        <v>102</v>
      </c>
      <c r="S108" s="17">
        <f>SUM(S5:S76)</f>
        <v>205830.56999999998</v>
      </c>
      <c r="T108" s="16"/>
      <c r="U108" s="16" t="s">
        <v>102</v>
      </c>
      <c r="V108" s="17">
        <f>SUM(V5:V76)</f>
        <v>187946.77000000002</v>
      </c>
    </row>
    <row r="109" spans="5:22" ht="14" thickBot="1" x14ac:dyDescent="0.2">
      <c r="E109" s="18"/>
      <c r="F109" s="18" t="s">
        <v>99</v>
      </c>
      <c r="G109" s="19">
        <f>+G107-G108</f>
        <v>0</v>
      </c>
      <c r="H109" s="18"/>
      <c r="I109" s="18" t="s">
        <v>99</v>
      </c>
      <c r="J109" s="19">
        <f>+J107-J108</f>
        <v>0</v>
      </c>
      <c r="K109" s="18"/>
      <c r="L109" s="18" t="s">
        <v>99</v>
      </c>
      <c r="M109" s="19">
        <f>+M107-M108</f>
        <v>0</v>
      </c>
      <c r="N109" s="18"/>
      <c r="O109" s="18" t="s">
        <v>99</v>
      </c>
      <c r="P109" s="19">
        <f>+P107-P108</f>
        <v>0</v>
      </c>
      <c r="Q109" s="18"/>
      <c r="R109" s="18" t="s">
        <v>99</v>
      </c>
      <c r="S109" s="19">
        <f>+S107-S108</f>
        <v>0</v>
      </c>
      <c r="T109" s="18"/>
      <c r="U109" s="18" t="s">
        <v>99</v>
      </c>
      <c r="V109" s="19">
        <f>+V107-V108</f>
        <v>0</v>
      </c>
    </row>
    <row r="110" spans="5:22" x14ac:dyDescent="0.15">
      <c r="G110" s="6"/>
      <c r="J110" s="6"/>
      <c r="M110" s="6"/>
      <c r="P110" s="6"/>
      <c r="V110" s="6"/>
    </row>
    <row r="111" spans="5:22" x14ac:dyDescent="0.15">
      <c r="G111" s="6"/>
      <c r="J111" s="6"/>
      <c r="M111" s="6"/>
      <c r="P111" s="6"/>
      <c r="V111" s="6"/>
    </row>
    <row r="112" spans="5:22" x14ac:dyDescent="0.15">
      <c r="G112" s="6"/>
      <c r="J112" s="6"/>
      <c r="M112" s="6"/>
      <c r="P112" s="6"/>
      <c r="V112" s="6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BUDGET</vt:lpstr>
      <vt:lpstr>THESAURIE CF</vt:lpstr>
      <vt:lpstr>DEPRECIATION</vt:lpstr>
      <vt:lpstr>INVESTERINGEN</vt:lpstr>
      <vt:lpstr>OVERIGE</vt:lpstr>
      <vt:lpstr>LOON</vt:lpstr>
      <vt:lpstr>D&amp;A</vt:lpstr>
      <vt:lpstr>BASIS HISTORISCHE CIJFERS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</dc:creator>
  <cp:lastModifiedBy>Cathy Bourgeos</cp:lastModifiedBy>
  <cp:lastPrinted>2025-03-11T15:17:11Z</cp:lastPrinted>
  <dcterms:created xsi:type="dcterms:W3CDTF">2022-03-02T16:28:14Z</dcterms:created>
  <dcterms:modified xsi:type="dcterms:W3CDTF">2025-06-20T18:11:42Z</dcterms:modified>
</cp:coreProperties>
</file>